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Cash Refund" sheetId="1" r:id="rId1"/>
    <sheet name="Second Runner" sheetId="2" r:id="rId2"/>
    <sheet name="Third runner" sheetId="3" r:id="rId3"/>
  </sheets>
  <definedNames/>
  <calcPr fullCalcOnLoad="1"/>
</workbook>
</file>

<file path=xl/sharedStrings.xml><?xml version="1.0" encoding="utf-8"?>
<sst xmlns="http://schemas.openxmlformats.org/spreadsheetml/2006/main" count="133" uniqueCount="63">
  <si>
    <t>Bet odds</t>
  </si>
  <si>
    <t>Lay odds</t>
  </si>
  <si>
    <t>Bet stake &gt;&gt;</t>
  </si>
  <si>
    <t>Commission</t>
  </si>
  <si>
    <t>Bookie return</t>
  </si>
  <si>
    <t>Lay stake</t>
  </si>
  <si>
    <t>Win</t>
  </si>
  <si>
    <t>Lose</t>
  </si>
  <si>
    <t>Lay Liability</t>
  </si>
  <si>
    <t>Bet profit</t>
  </si>
  <si>
    <t>/Lay odds</t>
  </si>
  <si>
    <t>Total</t>
  </si>
  <si>
    <t>Adjust</t>
  </si>
  <si>
    <t>Commission on the Lay part of the transaction is built into the returns from a successful Lay shown in column D</t>
  </si>
  <si>
    <t>Always bet first to be sure of the £ amount accepted by your bookie.</t>
  </si>
  <si>
    <t>Enter your BET stake at D1</t>
  </si>
  <si>
    <r>
      <t>LAY Stakes</t>
    </r>
    <r>
      <rPr>
        <sz val="10"/>
        <rFont val="Arial"/>
        <family val="2"/>
      </rPr>
      <t xml:space="preserve"> are shown for a range of odds in column B</t>
    </r>
  </si>
  <si>
    <t>Enter your commission rate at E2.    Delete E2 or enter zero to see stakes without commission included.</t>
  </si>
  <si>
    <t>Adjust B26 by positive or negative amounts to favour a Win or Lose result.</t>
  </si>
  <si>
    <t>Remember to delete B26 for every new transaction.</t>
  </si>
  <si>
    <t>The increments for the range of Lay odds are dependant on the Lay odds.</t>
  </si>
  <si>
    <t xml:space="preserve">If the increments in column A do not match Betfair increments, input </t>
  </si>
  <si>
    <t xml:space="preserve">slightly bigger or smaller Lay odds to get the correct increment. </t>
  </si>
  <si>
    <t>Mostly, the increments will be correct.</t>
  </si>
  <si>
    <t>Plus refund</t>
  </si>
  <si>
    <t>&lt;&lt; less half refund</t>
  </si>
  <si>
    <t>+ Refund</t>
  </si>
  <si>
    <t>&lt;&lt; Refund commission</t>
  </si>
  <si>
    <t>&lt;&lt; refund / 2 plus commission</t>
  </si>
  <si>
    <t>Copyright © 2010 [Howard Hutchinson]. All rights reserved.</t>
  </si>
  <si>
    <t>Use this spreadsheet to Bet with a bookie and Lay the same selection on Betfair if your bookie offers a cash refund of your stake if you hit a loser.</t>
  </si>
  <si>
    <t>Cash to be refunded</t>
  </si>
  <si>
    <t>Enter the cash amount to be returned at A4</t>
  </si>
  <si>
    <t>First race BET liabilities</t>
  </si>
  <si>
    <t>&lt;&lt;&lt; Possible winnings this race</t>
  </si>
  <si>
    <t>Winnings + stake c/fwd</t>
  </si>
  <si>
    <t>Bet stake</t>
  </si>
  <si>
    <t>&lt;&lt;&lt;  First race S.P.</t>
  </si>
  <si>
    <t>&lt;&lt;&lt;  First race LAY liabilities</t>
  </si>
  <si>
    <t>&lt;&lt;&lt; Possible Total Return this race</t>
  </si>
  <si>
    <t>&lt;&lt;&lt;  2nd race S.P.</t>
  </si>
  <si>
    <t>&lt;&lt;&lt;  2nd race LAY liabilities</t>
  </si>
  <si>
    <t>Enter your Bet Odds at A2 and the current Betfair Lay odds at B2</t>
  </si>
  <si>
    <t>&lt;&lt;&lt;  Use Adjust positive or negative  to balance the returns</t>
  </si>
  <si>
    <t>&lt;&lt;&lt;  First &amp; 2nd race S.P.</t>
  </si>
  <si>
    <t>&lt;&lt;&lt;  First &amp; 2nd  race LAY liabilities</t>
  </si>
  <si>
    <t>&lt;&lt;&lt;  First race Bet Stake</t>
  </si>
  <si>
    <r>
      <t>Inputs required at A4,</t>
    </r>
    <r>
      <rPr>
        <b/>
        <sz val="10"/>
        <color indexed="12"/>
        <rFont val="Arial"/>
        <family val="2"/>
      </rPr>
      <t xml:space="preserve"> A5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A9</t>
    </r>
  </si>
  <si>
    <t>Use the Adjust feature at B30 to balance the Win / Lose returns.</t>
  </si>
  <si>
    <t>Input positive or negative values at B30</t>
  </si>
  <si>
    <r>
      <t>Inputs required at A4,</t>
    </r>
    <r>
      <rPr>
        <b/>
        <sz val="10"/>
        <color indexed="12"/>
        <rFont val="Arial"/>
        <family val="2"/>
      </rPr>
      <t xml:space="preserve"> A5, A6,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A9, &amp; A10</t>
    </r>
  </si>
  <si>
    <t>&lt;&lt;&lt;  1st race bet stake</t>
  </si>
  <si>
    <t>Enter your original BET stake at A4.</t>
  </si>
  <si>
    <t>Enter the Starting Price of your winner in the first race at A5.</t>
  </si>
  <si>
    <r>
      <t>Enter your First Race bet liabilities at A9..</t>
    </r>
    <r>
      <rPr>
        <sz val="10"/>
        <color indexed="10"/>
        <rFont val="Arial"/>
        <family val="2"/>
      </rPr>
      <t>Be sure to enter a Negative amount.</t>
    </r>
  </si>
  <si>
    <t>Enter your Bet Odds of your 2nd runner at A2 and the current Betfair Lay odds of your 2nd runner at B2</t>
  </si>
  <si>
    <t>Adjust B30 by positive or negative amounts to balance your trade or favour a Win or Lose result.</t>
  </si>
  <si>
    <t>Remember to delete B30 for every new transaction.</t>
  </si>
  <si>
    <t>Use this spreadsheet to Lay the 3rd part of a multiple that has been bet with a bookie or Betfair.</t>
  </si>
  <si>
    <t>Use this spreadsheet to Lay the 2nd part of a multiple that has been bet with a bookie or Betfair.</t>
  </si>
  <si>
    <t>Enter the Starting Prices of your first and 2nd winners in the first 2 races at A5 &amp; A6.</t>
  </si>
  <si>
    <r>
      <t>Enter your First and 2nd Race bet liabilities at A9 &amp; A10..</t>
    </r>
    <r>
      <rPr>
        <sz val="10"/>
        <color indexed="10"/>
        <rFont val="Arial"/>
        <family val="2"/>
      </rPr>
      <t>Be sure to enter a Negative amounts.</t>
    </r>
  </si>
  <si>
    <t>Enter your Bet Odds of your 3rdd runner at A2 and the current Betfair Lay odds of your 3rd runner at B2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</si>
</sst>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.5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7.5"/>
      <color indexed="8"/>
      <name val="Arial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2" fillId="3" borderId="0" xfId="0" applyNumberFormat="1" applyFont="1" applyFill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 horizontal="left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right"/>
      <protection hidden="1"/>
    </xf>
    <xf numFmtId="164" fontId="0" fillId="0" borderId="0" xfId="0" applyNumberFormat="1" applyFont="1" applyFill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64" fontId="2" fillId="5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2" fillId="6" borderId="0" xfId="0" applyNumberFormat="1" applyFont="1" applyFill="1" applyAlignment="1" applyProtection="1">
      <alignment/>
      <protection hidden="1"/>
    </xf>
    <xf numFmtId="164" fontId="2" fillId="6" borderId="0" xfId="0" applyNumberFormat="1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64" fontId="2" fillId="5" borderId="0" xfId="0" applyNumberFormat="1" applyFont="1" applyFill="1" applyAlignment="1" applyProtection="1">
      <alignment horizontal="left"/>
      <protection hidden="1"/>
    </xf>
    <xf numFmtId="164" fontId="0" fillId="3" borderId="0" xfId="0" applyNumberFormat="1" applyFont="1" applyFill="1" applyAlignment="1" applyProtection="1">
      <alignment horizontal="left"/>
      <protection hidden="1"/>
    </xf>
    <xf numFmtId="164" fontId="0" fillId="0" borderId="0" xfId="0" applyNumberFormat="1" applyFill="1" applyAlignment="1" applyProtection="1">
      <alignment horizontal="left"/>
      <protection hidden="1"/>
    </xf>
    <xf numFmtId="164" fontId="0" fillId="6" borderId="0" xfId="0" applyNumberFormat="1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2" fillId="7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/>
      <protection hidden="1"/>
    </xf>
    <xf numFmtId="164" fontId="0" fillId="0" borderId="0" xfId="0" applyNumberFormat="1" applyFont="1" applyFill="1" applyAlignment="1" applyProtection="1" quotePrefix="1">
      <alignment horizontal="center"/>
      <protection hidden="1"/>
    </xf>
    <xf numFmtId="164" fontId="2" fillId="5" borderId="0" xfId="0" applyNumberFormat="1" applyFont="1" applyFill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/>
    </xf>
    <xf numFmtId="164" fontId="2" fillId="8" borderId="0" xfId="0" applyNumberFormat="1" applyFont="1" applyFill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164" fontId="2" fillId="4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 horizontal="center"/>
      <protection hidden="1" locked="0"/>
    </xf>
    <xf numFmtId="164" fontId="0" fillId="8" borderId="0" xfId="0" applyNumberFormat="1" applyFont="1" applyFill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Fill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alignment horizontal="center"/>
      <protection hidden="1"/>
    </xf>
    <xf numFmtId="164" fontId="0" fillId="8" borderId="0" xfId="0" applyNumberFormat="1" applyFont="1" applyFill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164" fontId="1" fillId="9" borderId="0" xfId="0" applyNumberFormat="1" applyFont="1" applyFill="1" applyAlignment="1" applyProtection="1">
      <alignment horizontal="center"/>
      <protection hidden="1" locked="0"/>
    </xf>
    <xf numFmtId="164" fontId="4" fillId="0" borderId="0" xfId="0" applyNumberFormat="1" applyFont="1" applyFill="1" applyAlignment="1" applyProtection="1">
      <alignment horizontal="left"/>
      <protection hidden="1"/>
    </xf>
    <xf numFmtId="164" fontId="0" fillId="7" borderId="0" xfId="0" applyNumberFormat="1" applyFill="1" applyAlignment="1" applyProtection="1">
      <alignment/>
      <protection hidden="1"/>
    </xf>
    <xf numFmtId="164" fontId="2" fillId="4" borderId="0" xfId="0" applyNumberFormat="1" applyFont="1" applyFill="1" applyAlignment="1" applyProtection="1">
      <alignment horizontal="center"/>
      <protection hidden="1"/>
    </xf>
    <xf numFmtId="164" fontId="0" fillId="8" borderId="0" xfId="0" applyNumberFormat="1" applyFill="1" applyAlignment="1" applyProtection="1">
      <alignment/>
      <protection hidden="1"/>
    </xf>
    <xf numFmtId="164" fontId="2" fillId="7" borderId="0" xfId="0" applyNumberFormat="1" applyFont="1" applyFill="1" applyAlignment="1" applyProtection="1">
      <alignment/>
      <protection hidden="1"/>
    </xf>
    <xf numFmtId="164" fontId="0" fillId="5" borderId="0" xfId="0" applyNumberFormat="1" applyFont="1" applyFill="1" applyAlignment="1" applyProtection="1">
      <alignment horizontal="center"/>
      <protection hidden="1"/>
    </xf>
    <xf numFmtId="164" fontId="2" fillId="9" borderId="0" xfId="0" applyNumberFormat="1" applyFont="1" applyFill="1" applyAlignment="1" applyProtection="1">
      <alignment horizontal="center"/>
      <protection locked="0"/>
    </xf>
    <xf numFmtId="164" fontId="2" fillId="5" borderId="0" xfId="0" applyNumberFormat="1" applyFont="1" applyFill="1" applyAlignment="1" applyProtection="1">
      <alignment horizontal="center"/>
      <protection locked="0"/>
    </xf>
    <xf numFmtId="164" fontId="1" fillId="10" borderId="0" xfId="0" applyNumberFormat="1" applyFont="1" applyFill="1" applyAlignment="1" applyProtection="1">
      <alignment horizontal="center"/>
      <protection locked="0"/>
    </xf>
    <xf numFmtId="164" fontId="2" fillId="6" borderId="0" xfId="0" applyNumberFormat="1" applyFont="1" applyFill="1" applyAlignment="1" applyProtection="1">
      <alignment horizontal="center"/>
      <protection locked="0"/>
    </xf>
    <xf numFmtId="164" fontId="1" fillId="9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1" fillId="10" borderId="0" xfId="0" applyNumberFormat="1" applyFont="1" applyFill="1" applyAlignment="1" applyProtection="1">
      <alignment horizontal="center"/>
      <protection hidden="1"/>
    </xf>
    <xf numFmtId="164" fontId="0" fillId="8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28125" style="1" customWidth="1"/>
    <col min="2" max="2" width="9.140625" style="1" customWidth="1"/>
    <col min="3" max="3" width="12.140625" style="6" bestFit="1" customWidth="1"/>
    <col min="4" max="4" width="9.140625" style="7" customWidth="1"/>
    <col min="5" max="5" width="10.140625" style="7" customWidth="1"/>
    <col min="6" max="6" width="12.00390625" style="1" customWidth="1"/>
    <col min="7" max="7" width="5.140625" style="1" hidden="1" customWidth="1"/>
    <col min="8" max="8" width="4.140625" style="10" hidden="1" customWidth="1"/>
    <col min="9" max="9" width="4.421875" style="1" hidden="1" customWidth="1"/>
    <col min="10" max="10" width="4.140625" style="1" hidden="1" customWidth="1"/>
    <col min="11" max="11" width="8.421875" style="1" hidden="1" customWidth="1"/>
    <col min="12" max="12" width="6.7109375" style="1" hidden="1" customWidth="1"/>
    <col min="13" max="14" width="12.00390625" style="1" hidden="1" customWidth="1"/>
    <col min="15" max="15" width="26.7109375" style="1" hidden="1" customWidth="1"/>
    <col min="16" max="16" width="7.140625" style="5" hidden="1" customWidth="1"/>
    <col min="17" max="17" width="0" style="5" hidden="1" customWidth="1"/>
    <col min="18" max="18" width="11.57421875" style="1" hidden="1" customWidth="1"/>
    <col min="19" max="16384" width="9.140625" style="5" customWidth="1"/>
  </cols>
  <sheetData>
    <row r="1" spans="1:14" ht="12.75">
      <c r="A1" s="1" t="s">
        <v>0</v>
      </c>
      <c r="B1" s="1" t="s">
        <v>1</v>
      </c>
      <c r="C1" s="2" t="s">
        <v>2</v>
      </c>
      <c r="D1" s="62">
        <v>10</v>
      </c>
      <c r="E1" s="36" t="s">
        <v>3</v>
      </c>
      <c r="G1" s="1">
        <f>IF(B2&lt;2.01,0.01,0)</f>
        <v>0</v>
      </c>
      <c r="H1" s="4">
        <v>1</v>
      </c>
      <c r="I1" s="4">
        <v>2</v>
      </c>
      <c r="J1" s="4">
        <v>0.01</v>
      </c>
      <c r="M1" s="1" t="s">
        <v>3</v>
      </c>
      <c r="N1" s="1" t="s">
        <v>4</v>
      </c>
    </row>
    <row r="2" spans="1:14" ht="12.75">
      <c r="A2" s="60">
        <v>2.5</v>
      </c>
      <c r="B2" s="61">
        <v>2.98</v>
      </c>
      <c r="E2" s="8">
        <v>5</v>
      </c>
      <c r="G2" s="1">
        <f>IF(AND($B$2&gt;2.01,$B$2&lt;3.01),0.02,0)</f>
        <v>0.02</v>
      </c>
      <c r="H2" s="9">
        <v>2.02</v>
      </c>
      <c r="I2" s="9">
        <v>3</v>
      </c>
      <c r="J2" s="9">
        <v>0.02</v>
      </c>
      <c r="N2" s="1">
        <f>D1*A2</f>
        <v>25</v>
      </c>
    </row>
    <row r="3" spans="4:15" ht="12.75">
      <c r="D3" s="5"/>
      <c r="E3" s="5"/>
      <c r="G3" s="1">
        <f>IF(AND($B$2&gt;3,$B$2&lt;4.01),0.05,0)</f>
        <v>0</v>
      </c>
      <c r="H3" s="4">
        <v>3.05</v>
      </c>
      <c r="I3" s="4">
        <v>4</v>
      </c>
      <c r="J3" s="4">
        <v>0.05</v>
      </c>
      <c r="M3" s="1">
        <f>(100-E2)/100</f>
        <v>0.95</v>
      </c>
      <c r="N3" s="37">
        <f>N2-A4</f>
        <v>15</v>
      </c>
      <c r="O3" s="36" t="s">
        <v>25</v>
      </c>
    </row>
    <row r="4" spans="1:15" ht="12.75">
      <c r="A4" s="44">
        <v>10</v>
      </c>
      <c r="B4" s="5" t="s">
        <v>31</v>
      </c>
      <c r="C4" s="16"/>
      <c r="D4" s="5"/>
      <c r="E4" s="5"/>
      <c r="G4" s="1">
        <f>IF(AND($B$2&gt;4,$B$2&lt;6.01),0.1,0)</f>
        <v>0</v>
      </c>
      <c r="H4" s="4">
        <v>4.1</v>
      </c>
      <c r="I4" s="4">
        <v>6</v>
      </c>
      <c r="J4" s="4">
        <v>0.1</v>
      </c>
      <c r="M4" s="1">
        <f>E2/100</f>
        <v>0.05</v>
      </c>
      <c r="N4" s="1">
        <f>(A6/2)*(E2/100)</f>
        <v>0</v>
      </c>
      <c r="O4" s="5" t="s">
        <v>27</v>
      </c>
    </row>
    <row r="5" spans="1:15" ht="12.75">
      <c r="A5" s="43"/>
      <c r="B5" s="12"/>
      <c r="C5" s="12"/>
      <c r="D5" s="5"/>
      <c r="E5" s="5"/>
      <c r="G5" s="1">
        <f>IF(AND($B$2&gt;6,$B$2&lt;10.01),0.2,0)</f>
        <v>0</v>
      </c>
      <c r="H5" s="4">
        <v>6.2</v>
      </c>
      <c r="I5" s="4">
        <v>10</v>
      </c>
      <c r="J5" s="4">
        <v>0.2</v>
      </c>
      <c r="N5" s="1">
        <f>A6/2+N4</f>
        <v>0</v>
      </c>
      <c r="O5" s="10" t="s">
        <v>28</v>
      </c>
    </row>
    <row r="6" spans="2:15" ht="12.75">
      <c r="B6" s="5"/>
      <c r="C6" s="16"/>
      <c r="D6" s="5"/>
      <c r="E6" s="5"/>
      <c r="F6" s="11"/>
      <c r="G6" s="1">
        <f>IF(AND($B$2&gt;10,$B$2&lt;20.01),0.5,0)</f>
        <v>0</v>
      </c>
      <c r="H6" s="4">
        <v>10.5</v>
      </c>
      <c r="I6" s="4">
        <v>20</v>
      </c>
      <c r="J6" s="4">
        <v>0.5</v>
      </c>
      <c r="M6" s="5" t="s">
        <v>4</v>
      </c>
      <c r="O6" s="5"/>
    </row>
    <row r="7" spans="2:15" ht="12.75">
      <c r="B7" s="12"/>
      <c r="C7" s="13"/>
      <c r="D7" s="12" t="s">
        <v>7</v>
      </c>
      <c r="E7" s="5"/>
      <c r="G7" s="1">
        <f>IF(AND($B$2&gt;20,$B$2&lt;30.01),1,0)</f>
        <v>0</v>
      </c>
      <c r="H7" s="4">
        <v>21</v>
      </c>
      <c r="I7" s="4">
        <v>30</v>
      </c>
      <c r="J7" s="4">
        <v>1</v>
      </c>
      <c r="M7" s="1" t="s">
        <v>24</v>
      </c>
      <c r="O7" s="5"/>
    </row>
    <row r="8" spans="1:15" ht="12.75">
      <c r="A8" s="15" t="s">
        <v>1</v>
      </c>
      <c r="B8" s="12" t="s">
        <v>5</v>
      </c>
      <c r="C8" s="16" t="s">
        <v>6</v>
      </c>
      <c r="D8" s="39" t="s">
        <v>26</v>
      </c>
      <c r="E8" s="1" t="s">
        <v>8</v>
      </c>
      <c r="G8" s="1">
        <f>IF(AND($B$2&gt;30,$B$2&lt;50.01),2,0)</f>
        <v>0</v>
      </c>
      <c r="H8" s="4">
        <v>32</v>
      </c>
      <c r="I8" s="4">
        <v>50</v>
      </c>
      <c r="J8" s="4">
        <v>2</v>
      </c>
      <c r="K8" s="1" t="s">
        <v>9</v>
      </c>
      <c r="L8" s="12" t="s">
        <v>7</v>
      </c>
      <c r="M8" s="1" t="s">
        <v>10</v>
      </c>
      <c r="O8" s="5" t="s">
        <v>11</v>
      </c>
    </row>
    <row r="9" spans="1:18" ht="12.75">
      <c r="A9" s="1">
        <f aca="true" t="shared" si="0" ref="A9:A14">A10-$G$11</f>
        <v>2.84</v>
      </c>
      <c r="B9" s="17">
        <f aca="true" t="shared" si="1" ref="B9:B24">(O9/A9)+$B$26</f>
        <v>5.374677643324738</v>
      </c>
      <c r="C9" s="15">
        <f aca="true" t="shared" si="2" ref="C9:C24">$D$1*($A$2-1)-B9*(A9-1)</f>
        <v>5.110593136282484</v>
      </c>
      <c r="D9" s="15">
        <f aca="true" t="shared" si="3" ref="D9:D23">$A$4+L9</f>
        <v>5.105943761158501</v>
      </c>
      <c r="E9" s="1">
        <f aca="true" t="shared" si="4" ref="E9:E24">B9*(A9-1)*-1</f>
        <v>-9.889406863717516</v>
      </c>
      <c r="G9" s="18">
        <f>IF(AND($B$2&gt;50,$B$2&lt;100.01),5,0)</f>
        <v>0</v>
      </c>
      <c r="H9" s="4">
        <v>55</v>
      </c>
      <c r="I9" s="4">
        <v>100</v>
      </c>
      <c r="J9" s="4">
        <v>5</v>
      </c>
      <c r="K9" s="1">
        <f>$D$1*($A$2-1)</f>
        <v>15</v>
      </c>
      <c r="L9" s="15">
        <f aca="true" t="shared" si="5" ref="L9:L24">(B9*$M$3)-$D$1</f>
        <v>-4.894056238841499</v>
      </c>
      <c r="M9" s="1">
        <f aca="true" t="shared" si="6" ref="M9:M24">$N$3/A9</f>
        <v>5.281690140845071</v>
      </c>
      <c r="N9" s="1">
        <f aca="true" t="shared" si="7" ref="N9:N24">M9*$E$2/100</f>
        <v>0.26408450704225356</v>
      </c>
      <c r="O9" s="1">
        <f>$N$3+N9</f>
        <v>15.264084507042254</v>
      </c>
      <c r="Q9" s="19"/>
      <c r="R9" s="15"/>
    </row>
    <row r="10" spans="1:18" ht="13.5" thickBot="1">
      <c r="A10" s="1">
        <f t="shared" si="0"/>
        <v>2.86</v>
      </c>
      <c r="B10" s="17">
        <f t="shared" si="1"/>
        <v>5.336446770013204</v>
      </c>
      <c r="C10" s="15">
        <f t="shared" si="2"/>
        <v>5.074209007775442</v>
      </c>
      <c r="D10" s="15">
        <f t="shared" si="3"/>
        <v>5.069624431512543</v>
      </c>
      <c r="E10" s="1">
        <f t="shared" si="4"/>
        <v>-9.925790992224558</v>
      </c>
      <c r="G10" s="20">
        <f>IF(B2&gt;100,10,0)</f>
        <v>0</v>
      </c>
      <c r="H10" s="4">
        <v>110</v>
      </c>
      <c r="I10" s="4">
        <v>1000</v>
      </c>
      <c r="J10" s="4">
        <v>10</v>
      </c>
      <c r="K10" s="1">
        <f aca="true" t="shared" si="8" ref="K10:K24">$D$1*($A$2-1)</f>
        <v>15</v>
      </c>
      <c r="L10" s="15">
        <f t="shared" si="5"/>
        <v>-4.930375568487457</v>
      </c>
      <c r="M10" s="1">
        <f t="shared" si="6"/>
        <v>5.244755244755245</v>
      </c>
      <c r="N10" s="1">
        <f t="shared" si="7"/>
        <v>0.2622377622377623</v>
      </c>
      <c r="O10" s="1">
        <f>$N$3+N10</f>
        <v>15.262237762237762</v>
      </c>
      <c r="Q10" s="19"/>
      <c r="R10" s="15"/>
    </row>
    <row r="11" spans="1:18" ht="12.75">
      <c r="A11" s="1">
        <f t="shared" si="0"/>
        <v>2.88</v>
      </c>
      <c r="B11" s="17">
        <f t="shared" si="1"/>
        <v>5.298755787037037</v>
      </c>
      <c r="C11" s="15">
        <f t="shared" si="2"/>
        <v>5.03833912037037</v>
      </c>
      <c r="D11" s="15">
        <f t="shared" si="3"/>
        <v>5.033817997685185</v>
      </c>
      <c r="E11" s="1">
        <f t="shared" si="4"/>
        <v>-9.96166087962963</v>
      </c>
      <c r="G11" s="3">
        <f>SUM(G1:G10)</f>
        <v>0.02</v>
      </c>
      <c r="K11" s="1">
        <f t="shared" si="8"/>
        <v>15</v>
      </c>
      <c r="L11" s="15">
        <f t="shared" si="5"/>
        <v>-4.966182002314815</v>
      </c>
      <c r="M11" s="1">
        <f t="shared" si="6"/>
        <v>5.208333333333334</v>
      </c>
      <c r="N11" s="1">
        <f t="shared" si="7"/>
        <v>0.26041666666666674</v>
      </c>
      <c r="O11" s="1">
        <f aca="true" t="shared" si="9" ref="O11:O24">$N$3+N11</f>
        <v>15.260416666666666</v>
      </c>
      <c r="Q11" s="19"/>
      <c r="R11" s="15"/>
    </row>
    <row r="12" spans="1:18" ht="12.75">
      <c r="A12" s="1">
        <f t="shared" si="0"/>
        <v>2.9</v>
      </c>
      <c r="B12" s="17">
        <f t="shared" si="1"/>
        <v>5.261593341260404</v>
      </c>
      <c r="C12" s="15">
        <f t="shared" si="2"/>
        <v>5.002972651605232</v>
      </c>
      <c r="D12" s="15">
        <f t="shared" si="3"/>
        <v>4.998513674197384</v>
      </c>
      <c r="E12" s="1">
        <f t="shared" si="4"/>
        <v>-9.997027348394768</v>
      </c>
      <c r="G12" s="3"/>
      <c r="K12" s="1">
        <f t="shared" si="8"/>
        <v>15</v>
      </c>
      <c r="L12" s="15">
        <f t="shared" si="5"/>
        <v>-5.001486325802616</v>
      </c>
      <c r="M12" s="1">
        <f t="shared" si="6"/>
        <v>5.172413793103448</v>
      </c>
      <c r="N12" s="1">
        <f t="shared" si="7"/>
        <v>0.25862068965517243</v>
      </c>
      <c r="O12" s="1">
        <f t="shared" si="9"/>
        <v>15.258620689655173</v>
      </c>
      <c r="Q12" s="19"/>
      <c r="R12" s="15"/>
    </row>
    <row r="13" spans="1:18" ht="12.75">
      <c r="A13" s="1">
        <f t="shared" si="0"/>
        <v>2.92</v>
      </c>
      <c r="B13" s="17">
        <f t="shared" si="1"/>
        <v>5.224948395571402</v>
      </c>
      <c r="C13" s="15">
        <f t="shared" si="2"/>
        <v>4.96809908050291</v>
      </c>
      <c r="D13" s="15">
        <f t="shared" si="3"/>
        <v>4.963700975792832</v>
      </c>
      <c r="E13" s="1">
        <f t="shared" si="4"/>
        <v>-10.03190091949709</v>
      </c>
      <c r="G13" s="21"/>
      <c r="H13" s="21"/>
      <c r="I13" s="21"/>
      <c r="J13" s="21"/>
      <c r="K13" s="1">
        <f t="shared" si="8"/>
        <v>15</v>
      </c>
      <c r="L13" s="15">
        <f t="shared" si="5"/>
        <v>-5.036299024207168</v>
      </c>
      <c r="M13" s="1">
        <f t="shared" si="6"/>
        <v>5.136986301369864</v>
      </c>
      <c r="N13" s="1">
        <f t="shared" si="7"/>
        <v>0.2568493150684932</v>
      </c>
      <c r="O13" s="1">
        <f t="shared" si="9"/>
        <v>15.256849315068493</v>
      </c>
      <c r="Q13" s="19"/>
      <c r="R13" s="15"/>
    </row>
    <row r="14" spans="1:18" ht="12.75">
      <c r="A14" s="1">
        <f t="shared" si="0"/>
        <v>2.94</v>
      </c>
      <c r="B14" s="17">
        <f t="shared" si="1"/>
        <v>5.188810217964737</v>
      </c>
      <c r="C14" s="15">
        <f t="shared" si="2"/>
        <v>4.933708177148411</v>
      </c>
      <c r="D14" s="15">
        <f t="shared" si="3"/>
        <v>4.9293697070665</v>
      </c>
      <c r="E14" s="1">
        <f t="shared" si="4"/>
        <v>-10.06629182285159</v>
      </c>
      <c r="G14" s="21"/>
      <c r="H14" s="21"/>
      <c r="I14" s="21"/>
      <c r="J14" s="21"/>
      <c r="K14" s="1">
        <f t="shared" si="8"/>
        <v>15</v>
      </c>
      <c r="L14" s="15">
        <f t="shared" si="5"/>
        <v>-5.0706302929335</v>
      </c>
      <c r="M14" s="1">
        <f t="shared" si="6"/>
        <v>5.1020408163265305</v>
      </c>
      <c r="N14" s="1">
        <f t="shared" si="7"/>
        <v>0.2551020408163265</v>
      </c>
      <c r="O14" s="1">
        <f t="shared" si="9"/>
        <v>15.255102040816327</v>
      </c>
      <c r="Q14" s="19"/>
      <c r="R14" s="15"/>
    </row>
    <row r="15" spans="1:17" ht="12.75">
      <c r="A15" s="1">
        <f>A16-$G$11</f>
        <v>2.96</v>
      </c>
      <c r="B15" s="17">
        <f t="shared" si="1"/>
        <v>5.153168371073777</v>
      </c>
      <c r="C15" s="15">
        <f t="shared" si="2"/>
        <v>4.899789992695398</v>
      </c>
      <c r="D15" s="15">
        <f t="shared" si="3"/>
        <v>4.895509952520088</v>
      </c>
      <c r="E15" s="1">
        <f t="shared" si="4"/>
        <v>-10.100210007304602</v>
      </c>
      <c r="G15" s="21"/>
      <c r="H15" s="21"/>
      <c r="I15" s="21"/>
      <c r="J15" s="21"/>
      <c r="K15" s="1">
        <f t="shared" si="8"/>
        <v>15</v>
      </c>
      <c r="L15" s="15">
        <f t="shared" si="5"/>
        <v>-5.104490047479912</v>
      </c>
      <c r="M15" s="1">
        <f t="shared" si="6"/>
        <v>5.0675675675675675</v>
      </c>
      <c r="N15" s="1">
        <f t="shared" si="7"/>
        <v>0.2533783783783784</v>
      </c>
      <c r="O15" s="1">
        <f t="shared" si="9"/>
        <v>15.253378378378379</v>
      </c>
      <c r="Q15" s="19"/>
    </row>
    <row r="16" spans="1:18" s="38" customFormat="1" ht="12.75">
      <c r="A16" s="3">
        <f>B2</f>
        <v>2.98</v>
      </c>
      <c r="B16" s="17">
        <f t="shared" si="1"/>
        <v>5.118012702130535</v>
      </c>
      <c r="C16" s="3">
        <f>$D$1*($A$2-1)-B16*(A16-1)</f>
        <v>4.8663348497815395</v>
      </c>
      <c r="D16" s="3">
        <f>$A$4+L16</f>
        <v>4.862112067024008</v>
      </c>
      <c r="E16" s="3">
        <f t="shared" si="4"/>
        <v>-10.13366515021846</v>
      </c>
      <c r="F16" s="3"/>
      <c r="G16" s="41"/>
      <c r="H16" s="41"/>
      <c r="I16" s="41"/>
      <c r="J16" s="41"/>
      <c r="K16" s="3">
        <f t="shared" si="8"/>
        <v>15</v>
      </c>
      <c r="L16" s="42">
        <f t="shared" si="5"/>
        <v>-5.137887932975992</v>
      </c>
      <c r="M16" s="1">
        <f t="shared" si="6"/>
        <v>5.033557046979865</v>
      </c>
      <c r="N16" s="3">
        <f t="shared" si="7"/>
        <v>0.25167785234899326</v>
      </c>
      <c r="O16" s="3">
        <f t="shared" si="9"/>
        <v>15.251677852348994</v>
      </c>
      <c r="P16" s="5"/>
      <c r="R16" s="22"/>
    </row>
    <row r="17" spans="1:17" ht="12.75">
      <c r="A17" s="1">
        <f>A16+$G$11</f>
        <v>3</v>
      </c>
      <c r="B17" s="17">
        <f t="shared" si="1"/>
        <v>5.083333333333333</v>
      </c>
      <c r="C17" s="15">
        <f t="shared" si="2"/>
        <v>4.833333333333334</v>
      </c>
      <c r="D17" s="15">
        <f t="shared" si="3"/>
        <v>4.829166666666666</v>
      </c>
      <c r="E17" s="1">
        <f t="shared" si="4"/>
        <v>-10.166666666666666</v>
      </c>
      <c r="G17" s="21"/>
      <c r="H17" s="21"/>
      <c r="I17" s="21"/>
      <c r="J17" s="21"/>
      <c r="K17" s="1">
        <f t="shared" si="8"/>
        <v>15</v>
      </c>
      <c r="L17" s="15">
        <f t="shared" si="5"/>
        <v>-5.170833333333334</v>
      </c>
      <c r="M17" s="1">
        <f t="shared" si="6"/>
        <v>5</v>
      </c>
      <c r="N17" s="1">
        <f t="shared" si="7"/>
        <v>0.25</v>
      </c>
      <c r="O17" s="1">
        <f t="shared" si="9"/>
        <v>15.25</v>
      </c>
      <c r="Q17" s="19"/>
    </row>
    <row r="18" spans="1:17" ht="12.75">
      <c r="A18" s="1">
        <f aca="true" t="shared" si="10" ref="A18:A24">A17+$G$11</f>
        <v>3.02</v>
      </c>
      <c r="B18" s="17">
        <f t="shared" si="1"/>
        <v>5.049120652602956</v>
      </c>
      <c r="C18" s="15">
        <f t="shared" si="2"/>
        <v>4.80077628174203</v>
      </c>
      <c r="D18" s="15">
        <f t="shared" si="3"/>
        <v>4.796664619972808</v>
      </c>
      <c r="E18" s="1">
        <f t="shared" si="4"/>
        <v>-10.19922371825797</v>
      </c>
      <c r="G18" s="21"/>
      <c r="H18" s="21"/>
      <c r="I18" s="21"/>
      <c r="J18" s="21"/>
      <c r="K18" s="1">
        <f t="shared" si="8"/>
        <v>15</v>
      </c>
      <c r="L18" s="15">
        <f t="shared" si="5"/>
        <v>-5.203335380027192</v>
      </c>
      <c r="M18" s="1">
        <f t="shared" si="6"/>
        <v>4.966887417218543</v>
      </c>
      <c r="N18" s="1">
        <f t="shared" si="7"/>
        <v>0.24834437086092717</v>
      </c>
      <c r="O18" s="1">
        <f t="shared" si="9"/>
        <v>15.248344370860927</v>
      </c>
      <c r="Q18" s="19"/>
    </row>
    <row r="19" spans="1:15" ht="12.75">
      <c r="A19" s="1">
        <f t="shared" si="10"/>
        <v>3.04</v>
      </c>
      <c r="B19" s="17">
        <f t="shared" si="1"/>
        <v>5.0153653047091415</v>
      </c>
      <c r="C19" s="15">
        <f t="shared" si="2"/>
        <v>4.768654778393351</v>
      </c>
      <c r="D19" s="15">
        <f t="shared" si="3"/>
        <v>4.764597039473684</v>
      </c>
      <c r="E19" s="1">
        <f t="shared" si="4"/>
        <v>-10.231345221606649</v>
      </c>
      <c r="G19" s="21"/>
      <c r="H19" s="21"/>
      <c r="I19" s="21"/>
      <c r="J19" s="21"/>
      <c r="K19" s="1">
        <f t="shared" si="8"/>
        <v>15</v>
      </c>
      <c r="L19" s="15">
        <f t="shared" si="5"/>
        <v>-5.235402960526316</v>
      </c>
      <c r="M19" s="1">
        <f t="shared" si="6"/>
        <v>4.934210526315789</v>
      </c>
      <c r="N19" s="1">
        <f t="shared" si="7"/>
        <v>0.24671052631578946</v>
      </c>
      <c r="O19" s="1">
        <f t="shared" si="9"/>
        <v>15.24671052631579</v>
      </c>
    </row>
    <row r="20" spans="1:15" ht="12.75">
      <c r="A20" s="1">
        <f t="shared" si="10"/>
        <v>3.06</v>
      </c>
      <c r="B20" s="17">
        <f t="shared" si="1"/>
        <v>4.982058182750224</v>
      </c>
      <c r="C20" s="15">
        <f t="shared" si="2"/>
        <v>4.736960143534539</v>
      </c>
      <c r="D20" s="15">
        <f t="shared" si="3"/>
        <v>4.7329552736127125</v>
      </c>
      <c r="E20" s="1">
        <f t="shared" si="4"/>
        <v>-10.263039856465461</v>
      </c>
      <c r="G20" s="21"/>
      <c r="H20" s="21"/>
      <c r="I20" s="21"/>
      <c r="J20" s="21"/>
      <c r="K20" s="1">
        <f t="shared" si="8"/>
        <v>15</v>
      </c>
      <c r="L20" s="15">
        <f t="shared" si="5"/>
        <v>-5.2670447263872875</v>
      </c>
      <c r="M20" s="1">
        <f t="shared" si="6"/>
        <v>4.901960784313726</v>
      </c>
      <c r="N20" s="1">
        <f t="shared" si="7"/>
        <v>0.2450980392156863</v>
      </c>
      <c r="O20" s="1">
        <f t="shared" si="9"/>
        <v>15.245098039215687</v>
      </c>
    </row>
    <row r="21" spans="1:15" ht="12.75">
      <c r="A21" s="1">
        <f t="shared" si="10"/>
        <v>3.08</v>
      </c>
      <c r="B21" s="17">
        <f t="shared" si="1"/>
        <v>4.949190419969641</v>
      </c>
      <c r="C21" s="15">
        <f t="shared" si="2"/>
        <v>4.705683926463147</v>
      </c>
      <c r="D21" s="15">
        <f t="shared" si="3"/>
        <v>4.701730898971158</v>
      </c>
      <c r="E21" s="1">
        <f t="shared" si="4"/>
        <v>-10.294316073536853</v>
      </c>
      <c r="G21" s="21"/>
      <c r="H21" s="21"/>
      <c r="I21" s="21"/>
      <c r="J21" s="21"/>
      <c r="K21" s="1">
        <f t="shared" si="8"/>
        <v>15</v>
      </c>
      <c r="L21" s="15">
        <f t="shared" si="5"/>
        <v>-5.298269101028842</v>
      </c>
      <c r="M21" s="1">
        <f t="shared" si="6"/>
        <v>4.87012987012987</v>
      </c>
      <c r="N21" s="1">
        <f t="shared" si="7"/>
        <v>0.24350649350649348</v>
      </c>
      <c r="O21" s="1">
        <f t="shared" si="9"/>
        <v>15.243506493506494</v>
      </c>
    </row>
    <row r="22" spans="1:15" ht="12.75">
      <c r="A22" s="1">
        <f t="shared" si="10"/>
        <v>3.1</v>
      </c>
      <c r="B22" s="17">
        <f t="shared" si="1"/>
        <v>4.9167533818938605</v>
      </c>
      <c r="C22" s="15">
        <f t="shared" si="2"/>
        <v>4.6748178980228925</v>
      </c>
      <c r="D22" s="15">
        <f t="shared" si="3"/>
        <v>4.670915712799167</v>
      </c>
      <c r="E22" s="1">
        <f t="shared" si="4"/>
        <v>-10.325182101977108</v>
      </c>
      <c r="G22" s="21"/>
      <c r="H22" s="21"/>
      <c r="I22" s="21"/>
      <c r="J22" s="21"/>
      <c r="K22" s="1">
        <f t="shared" si="8"/>
        <v>15</v>
      </c>
      <c r="L22" s="15">
        <f t="shared" si="5"/>
        <v>-5.329084287200833</v>
      </c>
      <c r="M22" s="1">
        <f t="shared" si="6"/>
        <v>4.838709677419355</v>
      </c>
      <c r="N22" s="1">
        <f t="shared" si="7"/>
        <v>0.24193548387096775</v>
      </c>
      <c r="O22" s="1">
        <f t="shared" si="9"/>
        <v>15.241935483870968</v>
      </c>
    </row>
    <row r="23" spans="1:15" ht="12.75">
      <c r="A23" s="1">
        <f t="shared" si="10"/>
        <v>3.12</v>
      </c>
      <c r="B23" s="17">
        <f t="shared" si="1"/>
        <v>4.88473865877712</v>
      </c>
      <c r="C23" s="15">
        <f t="shared" si="2"/>
        <v>4.644354043392504</v>
      </c>
      <c r="D23" s="15">
        <f t="shared" si="3"/>
        <v>4.640501725838265</v>
      </c>
      <c r="E23" s="1">
        <f t="shared" si="4"/>
        <v>-10.355645956607496</v>
      </c>
      <c r="G23" s="21"/>
      <c r="H23" s="21"/>
      <c r="I23" s="21"/>
      <c r="J23" s="21"/>
      <c r="K23" s="1">
        <f t="shared" si="8"/>
        <v>15</v>
      </c>
      <c r="L23" s="15">
        <f t="shared" si="5"/>
        <v>-5.359498274161735</v>
      </c>
      <c r="M23" s="1">
        <f t="shared" si="6"/>
        <v>4.8076923076923075</v>
      </c>
      <c r="N23" s="1">
        <f t="shared" si="7"/>
        <v>0.24038461538461536</v>
      </c>
      <c r="O23" s="1">
        <f t="shared" si="9"/>
        <v>15.240384615384615</v>
      </c>
    </row>
    <row r="24" spans="1:15" ht="12.75">
      <c r="A24" s="1">
        <f t="shared" si="10"/>
        <v>3.14</v>
      </c>
      <c r="B24" s="17">
        <f t="shared" si="1"/>
        <v>4.853138058339081</v>
      </c>
      <c r="C24" s="15">
        <f t="shared" si="2"/>
        <v>4.6142845551543665</v>
      </c>
      <c r="D24" s="15">
        <f>$A$4+L24</f>
        <v>4.610481155422127</v>
      </c>
      <c r="E24" s="1">
        <f t="shared" si="4"/>
        <v>-10.385715444845633</v>
      </c>
      <c r="G24" s="21"/>
      <c r="H24" s="21"/>
      <c r="I24" s="21"/>
      <c r="J24" s="21"/>
      <c r="K24" s="1">
        <f t="shared" si="8"/>
        <v>15</v>
      </c>
      <c r="L24" s="15">
        <f t="shared" si="5"/>
        <v>-5.389518844577873</v>
      </c>
      <c r="M24" s="1">
        <f t="shared" si="6"/>
        <v>4.777070063694267</v>
      </c>
      <c r="N24" s="1">
        <f t="shared" si="7"/>
        <v>0.23885350318471335</v>
      </c>
      <c r="O24" s="1">
        <f t="shared" si="9"/>
        <v>15.238853503184714</v>
      </c>
    </row>
    <row r="25" spans="2:15" ht="12.75">
      <c r="B25" s="22"/>
      <c r="C25" s="15"/>
      <c r="D25" s="15"/>
      <c r="E25" s="15"/>
      <c r="G25" s="21"/>
      <c r="H25" s="21"/>
      <c r="I25" s="21"/>
      <c r="J25" s="21"/>
      <c r="K25" s="21"/>
      <c r="N25" s="5"/>
      <c r="O25" s="5"/>
    </row>
    <row r="26" spans="1:15" ht="12.75">
      <c r="A26" s="23" t="s">
        <v>12</v>
      </c>
      <c r="B26" s="63">
        <v>0</v>
      </c>
      <c r="C26" s="15"/>
      <c r="D26" s="15"/>
      <c r="E26" s="15"/>
      <c r="G26" s="21"/>
      <c r="H26" s="21"/>
      <c r="I26" s="21"/>
      <c r="J26" s="21"/>
      <c r="K26" s="21"/>
      <c r="L26" s="21"/>
      <c r="N26" s="5"/>
      <c r="O26" s="5"/>
    </row>
    <row r="27" spans="1:18" s="26" customFormat="1" ht="12.75">
      <c r="A27" s="45"/>
      <c r="B27" s="46"/>
      <c r="C27" s="12"/>
      <c r="D27" s="12"/>
      <c r="E27" s="12"/>
      <c r="F27" s="16"/>
      <c r="G27" s="25"/>
      <c r="H27" s="25"/>
      <c r="I27" s="25"/>
      <c r="J27" s="25"/>
      <c r="K27" s="25"/>
      <c r="L27" s="25"/>
      <c r="M27" s="16"/>
      <c r="R27" s="16"/>
    </row>
    <row r="28" spans="1:15" ht="12.75">
      <c r="A28" s="10" t="s">
        <v>30</v>
      </c>
      <c r="B28" s="22"/>
      <c r="C28" s="12"/>
      <c r="D28" s="12"/>
      <c r="E28" s="12"/>
      <c r="F28" s="26"/>
      <c r="G28" s="26"/>
      <c r="H28" s="25"/>
      <c r="I28" s="25"/>
      <c r="J28" s="25"/>
      <c r="K28" s="25"/>
      <c r="L28" s="25"/>
      <c r="N28" s="5"/>
      <c r="O28" s="5"/>
    </row>
    <row r="29" spans="1:15" ht="12.75">
      <c r="A29" s="10" t="s">
        <v>13</v>
      </c>
      <c r="B29" s="14"/>
      <c r="C29" s="12"/>
      <c r="D29" s="12"/>
      <c r="E29" s="12"/>
      <c r="F29" s="26"/>
      <c r="G29" s="26"/>
      <c r="H29" s="25"/>
      <c r="I29" s="25"/>
      <c r="J29" s="25"/>
      <c r="K29" s="25"/>
      <c r="L29" s="25"/>
      <c r="N29" s="5"/>
      <c r="O29" s="5"/>
    </row>
    <row r="30" spans="1:12" ht="12.75">
      <c r="A30" s="10" t="s">
        <v>14</v>
      </c>
      <c r="B30" s="22"/>
      <c r="C30" s="12"/>
      <c r="D30" s="27"/>
      <c r="E30" s="27"/>
      <c r="F30" s="26"/>
      <c r="G30" s="26"/>
      <c r="H30" s="25"/>
      <c r="I30" s="25"/>
      <c r="J30" s="25"/>
      <c r="K30" s="25"/>
      <c r="L30" s="25"/>
    </row>
    <row r="31" spans="2:12" ht="12.75">
      <c r="B31" s="22"/>
      <c r="C31" s="12"/>
      <c r="D31" s="22"/>
      <c r="E31" s="22"/>
      <c r="F31" s="28"/>
      <c r="G31" s="26"/>
      <c r="H31" s="25"/>
      <c r="I31" s="25"/>
      <c r="J31" s="25"/>
      <c r="K31" s="25"/>
      <c r="L31" s="25"/>
    </row>
    <row r="32" spans="1:12" ht="12.75">
      <c r="A32" s="10" t="s">
        <v>15</v>
      </c>
      <c r="B32" s="22"/>
      <c r="C32" s="12"/>
      <c r="D32" s="27"/>
      <c r="E32" s="27"/>
      <c r="F32" s="26"/>
      <c r="G32" s="26"/>
      <c r="H32" s="25"/>
      <c r="I32" s="25"/>
      <c r="J32" s="25"/>
      <c r="K32" s="25"/>
      <c r="L32" s="25"/>
    </row>
    <row r="33" spans="1:18" s="29" customFormat="1" ht="12.75">
      <c r="A33" s="10" t="s">
        <v>42</v>
      </c>
      <c r="B33" s="12"/>
      <c r="C33" s="12"/>
      <c r="D33" s="14"/>
      <c r="E33" s="14"/>
      <c r="H33" s="30"/>
      <c r="I33" s="30"/>
      <c r="J33" s="30"/>
      <c r="K33" s="30"/>
      <c r="L33" s="30"/>
      <c r="M33" s="12"/>
      <c r="N33" s="12"/>
      <c r="O33" s="12"/>
      <c r="R33" s="12"/>
    </row>
    <row r="34" spans="1:18" s="29" customFormat="1" ht="12.75">
      <c r="A34" s="31" t="s">
        <v>16</v>
      </c>
      <c r="B34" s="12"/>
      <c r="C34" s="12"/>
      <c r="D34" s="14"/>
      <c r="E34" s="14"/>
      <c r="H34" s="30"/>
      <c r="I34" s="30"/>
      <c r="J34" s="30"/>
      <c r="K34" s="30"/>
      <c r="L34" s="30"/>
      <c r="M34" s="12"/>
      <c r="N34" s="12"/>
      <c r="O34" s="12"/>
      <c r="R34" s="12"/>
    </row>
    <row r="35" spans="1:18" s="29" customFormat="1" ht="12.75">
      <c r="A35" s="32" t="s">
        <v>17</v>
      </c>
      <c r="B35" s="12"/>
      <c r="C35" s="12"/>
      <c r="D35" s="14"/>
      <c r="E35" s="14"/>
      <c r="H35" s="30"/>
      <c r="I35" s="30"/>
      <c r="J35" s="30"/>
      <c r="K35" s="30"/>
      <c r="L35" s="30"/>
      <c r="M35" s="12"/>
      <c r="N35" s="12"/>
      <c r="O35" s="12"/>
      <c r="R35" s="12"/>
    </row>
    <row r="36" spans="1:18" s="29" customFormat="1" ht="12.75">
      <c r="A36" s="47" t="s">
        <v>32</v>
      </c>
      <c r="B36" s="12"/>
      <c r="C36" s="12"/>
      <c r="D36" s="14"/>
      <c r="E36" s="14"/>
      <c r="H36" s="30"/>
      <c r="I36" s="30"/>
      <c r="J36" s="30"/>
      <c r="K36" s="30"/>
      <c r="L36" s="30"/>
      <c r="M36" s="12"/>
      <c r="N36" s="12"/>
      <c r="O36" s="12"/>
      <c r="R36" s="12"/>
    </row>
    <row r="37" spans="1:12" ht="12.75">
      <c r="A37" s="34" t="s">
        <v>18</v>
      </c>
      <c r="B37" s="16"/>
      <c r="C37" s="12"/>
      <c r="D37" s="22"/>
      <c r="E37" s="22"/>
      <c r="F37" s="26"/>
      <c r="G37" s="26"/>
      <c r="H37" s="33"/>
      <c r="I37" s="16"/>
      <c r="J37" s="16"/>
      <c r="K37" s="16"/>
      <c r="L37" s="16"/>
    </row>
    <row r="38" ht="12.75">
      <c r="A38" s="10" t="s">
        <v>19</v>
      </c>
    </row>
    <row r="39" ht="12.75">
      <c r="A39" s="10"/>
    </row>
    <row r="40" ht="12.75">
      <c r="A40" s="10" t="s">
        <v>20</v>
      </c>
    </row>
    <row r="41" ht="12.75">
      <c r="A41" s="10" t="s">
        <v>21</v>
      </c>
    </row>
    <row r="42" ht="12.75">
      <c r="A42" s="10" t="s">
        <v>22</v>
      </c>
    </row>
    <row r="43" ht="12.75">
      <c r="A43" s="10" t="s">
        <v>23</v>
      </c>
    </row>
    <row r="45" ht="12.75">
      <c r="A45" s="35" t="s">
        <v>29</v>
      </c>
    </row>
    <row r="46" ht="12.75">
      <c r="A46" s="5"/>
    </row>
    <row r="48" ht="12.75">
      <c r="A48" s="5"/>
    </row>
  </sheetData>
  <sheetProtection password="D958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B31" sqref="B31"/>
    </sheetView>
  </sheetViews>
  <sheetFormatPr defaultColWidth="9.140625" defaultRowHeight="12.75"/>
  <cols>
    <col min="1" max="1" width="13.28125" style="1" customWidth="1"/>
    <col min="2" max="2" width="9.140625" style="1" customWidth="1"/>
    <col min="3" max="3" width="15.00390625" style="6" bestFit="1" customWidth="1"/>
    <col min="4" max="4" width="9.140625" style="7" customWidth="1"/>
    <col min="5" max="5" width="13.421875" style="1" customWidth="1"/>
    <col min="6" max="6" width="5.140625" style="1" hidden="1" customWidth="1"/>
    <col min="7" max="7" width="4.140625" style="10" hidden="1" customWidth="1"/>
    <col min="8" max="8" width="4.421875" style="1" hidden="1" customWidth="1"/>
    <col min="9" max="9" width="4.140625" style="1" hidden="1" customWidth="1"/>
    <col min="10" max="10" width="8.421875" style="1" hidden="1" customWidth="1"/>
    <col min="11" max="11" width="11.28125" style="1" hidden="1" customWidth="1"/>
    <col min="12" max="13" width="12.00390625" style="1" hidden="1" customWidth="1"/>
    <col min="14" max="14" width="5.140625" style="5" hidden="1" customWidth="1"/>
    <col min="15" max="15" width="6.140625" style="5" hidden="1" customWidth="1"/>
    <col min="16" max="16384" width="9.140625" style="5" customWidth="1"/>
  </cols>
  <sheetData>
    <row r="1" spans="1:12" ht="12.75">
      <c r="A1" s="1" t="s">
        <v>0</v>
      </c>
      <c r="B1" s="1" t="s">
        <v>1</v>
      </c>
      <c r="E1" s="3" t="s">
        <v>3</v>
      </c>
      <c r="F1" s="1">
        <f>IF(B2&lt;2.01,0.01,0)</f>
        <v>0.01</v>
      </c>
      <c r="G1" s="4">
        <v>1</v>
      </c>
      <c r="H1" s="4">
        <v>2</v>
      </c>
      <c r="I1" s="4">
        <v>0.01</v>
      </c>
      <c r="K1" s="1" t="s">
        <v>3</v>
      </c>
      <c r="L1" s="1" t="s">
        <v>4</v>
      </c>
    </row>
    <row r="2" spans="1:12" ht="12.75">
      <c r="A2" s="64">
        <v>1.7</v>
      </c>
      <c r="B2" s="61">
        <v>1.81</v>
      </c>
      <c r="E2" s="8">
        <v>5</v>
      </c>
      <c r="F2" s="1">
        <f>IF(AND($B$2&gt;2.01,$B$2&lt;3.01),0.02,0)</f>
        <v>0</v>
      </c>
      <c r="G2" s="9">
        <v>2.02</v>
      </c>
      <c r="H2" s="9">
        <v>3</v>
      </c>
      <c r="I2" s="9">
        <v>0.02</v>
      </c>
      <c r="L2" s="1">
        <f>(L7*A2)-'Cash Refund'!A4</f>
        <v>23.884278016506364</v>
      </c>
    </row>
    <row r="3" spans="1:11" ht="12.75">
      <c r="A3" s="5"/>
      <c r="B3" s="5"/>
      <c r="D3" s="5"/>
      <c r="E3" s="5"/>
      <c r="F3" s="1">
        <f>IF(AND($B$2&gt;3,$B$2&lt;4.01),0.05,0)</f>
        <v>0</v>
      </c>
      <c r="G3" s="4">
        <v>3.05</v>
      </c>
      <c r="H3" s="4">
        <v>4</v>
      </c>
      <c r="I3" s="4">
        <v>0.05</v>
      </c>
      <c r="K3" s="1">
        <f>(100-E2)/100</f>
        <v>0.95</v>
      </c>
    </row>
    <row r="4" spans="1:13" ht="12.75">
      <c r="A4" s="68">
        <v>10</v>
      </c>
      <c r="B4" s="38" t="s">
        <v>51</v>
      </c>
      <c r="C4" s="16"/>
      <c r="D4" s="5"/>
      <c r="E4" s="36"/>
      <c r="F4" s="1">
        <f>IF(AND($B$2&gt;4,$B$2&lt;6.01),0.1,0)</f>
        <v>0</v>
      </c>
      <c r="G4" s="4">
        <v>4.1</v>
      </c>
      <c r="H4" s="4">
        <v>6</v>
      </c>
      <c r="I4" s="4">
        <v>0.1</v>
      </c>
      <c r="K4" s="1">
        <f>E2/100</f>
        <v>0.05</v>
      </c>
      <c r="L4" s="5"/>
      <c r="M4" s="5"/>
    </row>
    <row r="5" spans="1:17" ht="12.75">
      <c r="A5" s="64">
        <v>2.5</v>
      </c>
      <c r="B5" s="52" t="s">
        <v>37</v>
      </c>
      <c r="C5" s="12"/>
      <c r="D5" s="26">
        <f>D6-A4</f>
        <v>32.5</v>
      </c>
      <c r="E5" s="48" t="s">
        <v>34</v>
      </c>
      <c r="F5" s="1">
        <f>IF(AND($B$2&gt;6,$B$2&lt;10.01),0.2,0)</f>
        <v>0</v>
      </c>
      <c r="G5" s="4">
        <v>6.2</v>
      </c>
      <c r="H5" s="4">
        <v>10</v>
      </c>
      <c r="I5" s="4">
        <v>0.2</v>
      </c>
      <c r="Q5" s="48"/>
    </row>
    <row r="6" spans="1:13" ht="12.75">
      <c r="A6" s="67">
        <f>A4*A5</f>
        <v>25</v>
      </c>
      <c r="B6" s="48" t="s">
        <v>35</v>
      </c>
      <c r="C6" s="16"/>
      <c r="D6" s="5">
        <f>A4*A5*A2</f>
        <v>42.5</v>
      </c>
      <c r="E6" s="48" t="s">
        <v>39</v>
      </c>
      <c r="F6" s="1">
        <f>IF(AND($B$2&gt;10,$B$2&lt;20.01),0.5,0)</f>
        <v>0</v>
      </c>
      <c r="G6" s="4">
        <v>10.5</v>
      </c>
      <c r="H6" s="4">
        <v>20</v>
      </c>
      <c r="I6" s="4">
        <v>0.5</v>
      </c>
      <c r="M6" s="48"/>
    </row>
    <row r="7" spans="1:13" ht="12.75">
      <c r="A7" s="12"/>
      <c r="B7" s="10"/>
      <c r="C7" s="16"/>
      <c r="D7" s="5"/>
      <c r="E7" s="11"/>
      <c r="G7" s="4"/>
      <c r="H7" s="4"/>
      <c r="I7" s="4"/>
      <c r="K7" s="5" t="s">
        <v>36</v>
      </c>
      <c r="L7" s="66">
        <f>(D5+A9)/(B2-1)-(A4/B2)</f>
        <v>19.931928245003746</v>
      </c>
      <c r="M7" s="48"/>
    </row>
    <row r="8" spans="1:17" ht="12.75">
      <c r="A8" s="12">
        <f>A4*-1</f>
        <v>-10</v>
      </c>
      <c r="B8" s="14" t="s">
        <v>33</v>
      </c>
      <c r="C8" s="16"/>
      <c r="D8" s="5"/>
      <c r="E8" s="48"/>
      <c r="G8" s="4"/>
      <c r="H8" s="4"/>
      <c r="I8" s="4"/>
      <c r="M8" s="48"/>
      <c r="Q8" s="45" t="s">
        <v>47</v>
      </c>
    </row>
    <row r="9" spans="1:17" ht="12.75">
      <c r="A9" s="65">
        <v>-11.88</v>
      </c>
      <c r="B9" s="54" t="s">
        <v>38</v>
      </c>
      <c r="C9" s="16"/>
      <c r="D9" s="5"/>
      <c r="E9" s="11"/>
      <c r="G9" s="4"/>
      <c r="H9" s="4"/>
      <c r="I9" s="4"/>
      <c r="M9" s="48"/>
      <c r="Q9" s="38" t="s">
        <v>46</v>
      </c>
    </row>
    <row r="10" spans="2:17" ht="12.75">
      <c r="B10" s="5"/>
      <c r="C10" s="13"/>
      <c r="D10" s="14"/>
      <c r="E10" s="5"/>
      <c r="F10" s="1">
        <f>IF(AND($B$2&gt;20,$B$2&lt;30.01),1,0)</f>
        <v>0</v>
      </c>
      <c r="G10" s="4">
        <v>21</v>
      </c>
      <c r="H10" s="4">
        <v>30</v>
      </c>
      <c r="I10" s="4">
        <v>1</v>
      </c>
      <c r="M10" s="5" t="s">
        <v>4</v>
      </c>
      <c r="N10" s="1"/>
      <c r="Q10" s="52" t="s">
        <v>37</v>
      </c>
    </row>
    <row r="11" spans="2:17" ht="12.75">
      <c r="B11" s="5"/>
      <c r="C11" s="13"/>
      <c r="D11" s="14"/>
      <c r="E11" s="5"/>
      <c r="G11" s="4"/>
      <c r="H11" s="4"/>
      <c r="I11" s="4"/>
      <c r="M11" s="5"/>
      <c r="N11" s="1"/>
      <c r="Q11" s="54" t="s">
        <v>38</v>
      </c>
    </row>
    <row r="12" spans="1:15" ht="12.75">
      <c r="A12" s="15" t="s">
        <v>1</v>
      </c>
      <c r="B12" s="12" t="s">
        <v>5</v>
      </c>
      <c r="C12" s="1" t="s">
        <v>6</v>
      </c>
      <c r="D12" s="1" t="s">
        <v>7</v>
      </c>
      <c r="E12" s="1" t="s">
        <v>8</v>
      </c>
      <c r="F12" s="1">
        <f>IF(AND($B$2&gt;30,$B$2&lt;50.01),2,0)</f>
        <v>0</v>
      </c>
      <c r="G12" s="4">
        <v>32</v>
      </c>
      <c r="H12" s="4">
        <v>50</v>
      </c>
      <c r="I12" s="4">
        <v>2</v>
      </c>
      <c r="J12" s="1" t="s">
        <v>9</v>
      </c>
      <c r="K12" s="16" t="s">
        <v>6</v>
      </c>
      <c r="L12" s="12" t="s">
        <v>7</v>
      </c>
      <c r="M12" s="1" t="s">
        <v>10</v>
      </c>
      <c r="N12" s="1">
        <v>0.05</v>
      </c>
      <c r="O12" s="5" t="s">
        <v>11</v>
      </c>
    </row>
    <row r="13" spans="1:15" ht="12.75">
      <c r="A13" s="1">
        <f aca="true" t="shared" si="0" ref="A13:A18">A14-$F$15</f>
        <v>1.74</v>
      </c>
      <c r="B13" s="59">
        <f aca="true" t="shared" si="1" ref="B13:B27">(O13/A13)-$B$30*-1</f>
        <v>24.7210389911304</v>
      </c>
      <c r="C13" s="12">
        <f aca="true" t="shared" si="2" ref="C13:C28">$D$5+$A$9+E13</f>
        <v>2.326431146563504</v>
      </c>
      <c r="D13" s="12">
        <f aca="true" t="shared" si="3" ref="D13:D27">B13*((100-$E$2)/100)+$A$8+$A$9</f>
        <v>1.6049870415738763</v>
      </c>
      <c r="E13" s="1">
        <f>B13*(A13-1)*-1</f>
        <v>-18.293568853436494</v>
      </c>
      <c r="F13" s="18">
        <f>IF(AND($B$2&gt;50,$B$2&lt;100.01),5,0)</f>
        <v>0</v>
      </c>
      <c r="G13" s="4">
        <v>55</v>
      </c>
      <c r="H13" s="4">
        <v>100</v>
      </c>
      <c r="I13" s="4">
        <v>5</v>
      </c>
      <c r="J13" s="1">
        <f aca="true" t="shared" si="4" ref="J13:J28">$L$7*($A$2-1)</f>
        <v>13.952349771502622</v>
      </c>
      <c r="K13" s="15">
        <f aca="true" t="shared" si="5" ref="K13:K28">$L$7*($A$2-1)-B13*(A13-1)</f>
        <v>-4.341219081933872</v>
      </c>
      <c r="L13" s="15">
        <f aca="true" t="shared" si="6" ref="L13:L28">(B13*$K$3)-$L$7</f>
        <v>3.553058796570131</v>
      </c>
      <c r="M13" s="5">
        <f aca="true" t="shared" si="7" ref="M13:M28">$L$2/A13</f>
        <v>13.726596561210554</v>
      </c>
      <c r="N13" s="1">
        <f aca="true" t="shared" si="8" ref="N13:N28">M13*$E$2/100</f>
        <v>0.6863298280605277</v>
      </c>
      <c r="O13" s="5">
        <f>$L$2+N13</f>
        <v>24.570607844566894</v>
      </c>
    </row>
    <row r="14" spans="1:20" ht="13.5" thickBot="1">
      <c r="A14" s="1">
        <f t="shared" si="0"/>
        <v>1.75</v>
      </c>
      <c r="B14" s="59">
        <f t="shared" si="1"/>
        <v>24.638106262762925</v>
      </c>
      <c r="C14" s="12">
        <f t="shared" si="2"/>
        <v>2.1414203029278056</v>
      </c>
      <c r="D14" s="12">
        <f t="shared" si="3"/>
        <v>1.5262009496247781</v>
      </c>
      <c r="E14" s="1">
        <f aca="true" t="shared" si="9" ref="E14:E28">B14*(A14-1)*-1</f>
        <v>-18.478579697072192</v>
      </c>
      <c r="F14" s="20">
        <f>IF(B2&gt;100,10,0)</f>
        <v>0</v>
      </c>
      <c r="G14" s="4">
        <v>110</v>
      </c>
      <c r="H14" s="4">
        <v>1000</v>
      </c>
      <c r="I14" s="4">
        <v>10</v>
      </c>
      <c r="J14" s="1">
        <f t="shared" si="4"/>
        <v>13.952349771502622</v>
      </c>
      <c r="K14" s="15">
        <f t="shared" si="5"/>
        <v>-4.52622992556957</v>
      </c>
      <c r="L14" s="15">
        <f t="shared" si="6"/>
        <v>3.4742727046210327</v>
      </c>
      <c r="M14" s="5">
        <f t="shared" si="7"/>
        <v>13.648158866575065</v>
      </c>
      <c r="N14" s="1">
        <f t="shared" si="8"/>
        <v>0.6824079433287532</v>
      </c>
      <c r="O14" s="5">
        <f aca="true" t="shared" si="10" ref="O14:O28">$L$2+N14</f>
        <v>24.566685959835116</v>
      </c>
      <c r="Q14" s="29"/>
      <c r="R14" s="29"/>
      <c r="S14" s="29"/>
      <c r="T14" s="29"/>
    </row>
    <row r="15" spans="1:20" ht="12.75">
      <c r="A15" s="1">
        <f t="shared" si="0"/>
        <v>1.76</v>
      </c>
      <c r="B15" s="59">
        <f t="shared" si="1"/>
        <v>24.556141273849597</v>
      </c>
      <c r="C15" s="12">
        <f t="shared" si="2"/>
        <v>1.9573326318743014</v>
      </c>
      <c r="D15" s="12">
        <f t="shared" si="3"/>
        <v>1.4483342101571157</v>
      </c>
      <c r="E15" s="1">
        <f t="shared" si="9"/>
        <v>-18.662667368125696</v>
      </c>
      <c r="F15" s="3">
        <f>SUM(F1:F14)</f>
        <v>0.01</v>
      </c>
      <c r="J15" s="1">
        <f t="shared" si="4"/>
        <v>13.952349771502622</v>
      </c>
      <c r="K15" s="15">
        <f t="shared" si="5"/>
        <v>-4.710317596623074</v>
      </c>
      <c r="L15" s="15">
        <f t="shared" si="6"/>
        <v>3.3964059651533702</v>
      </c>
      <c r="M15" s="5">
        <f t="shared" si="7"/>
        <v>13.570612509378616</v>
      </c>
      <c r="N15" s="1">
        <f t="shared" si="8"/>
        <v>0.6785306254689308</v>
      </c>
      <c r="O15" s="5">
        <f t="shared" si="10"/>
        <v>24.562808641975295</v>
      </c>
      <c r="Q15" s="29"/>
      <c r="R15" s="29"/>
      <c r="S15" s="29"/>
      <c r="T15" s="29"/>
    </row>
    <row r="16" spans="1:15" ht="12.75">
      <c r="A16" s="1">
        <f t="shared" si="0"/>
        <v>1.77</v>
      </c>
      <c r="B16" s="59">
        <f t="shared" si="1"/>
        <v>24.47512719526368</v>
      </c>
      <c r="C16" s="12">
        <f t="shared" si="2"/>
        <v>1.774152059646962</v>
      </c>
      <c r="D16" s="12">
        <f t="shared" si="3"/>
        <v>1.3713708355004943</v>
      </c>
      <c r="E16" s="1">
        <f t="shared" si="9"/>
        <v>-18.845847940353035</v>
      </c>
      <c r="F16" s="3"/>
      <c r="J16" s="1">
        <f t="shared" si="4"/>
        <v>13.952349771502622</v>
      </c>
      <c r="K16" s="15">
        <f t="shared" si="5"/>
        <v>-4.893498168850414</v>
      </c>
      <c r="L16" s="15">
        <f t="shared" si="6"/>
        <v>3.319442590496749</v>
      </c>
      <c r="M16" s="5">
        <f t="shared" si="7"/>
        <v>13.493942382206985</v>
      </c>
      <c r="N16" s="1">
        <f t="shared" si="8"/>
        <v>0.6746971191103492</v>
      </c>
      <c r="O16" s="5">
        <f t="shared" si="10"/>
        <v>24.558975135616713</v>
      </c>
    </row>
    <row r="17" spans="1:15" ht="12.75">
      <c r="A17" s="1">
        <f t="shared" si="0"/>
        <v>1.78</v>
      </c>
      <c r="B17" s="59">
        <f t="shared" si="1"/>
        <v>24.39504758559735</v>
      </c>
      <c r="C17" s="12">
        <f t="shared" si="2"/>
        <v>1.5918628832340644</v>
      </c>
      <c r="D17" s="12">
        <f t="shared" si="3"/>
        <v>1.2952952063174816</v>
      </c>
      <c r="E17" s="1">
        <f t="shared" si="9"/>
        <v>-19.028137116765933</v>
      </c>
      <c r="F17" s="21"/>
      <c r="G17" s="21"/>
      <c r="H17" s="21"/>
      <c r="I17" s="21"/>
      <c r="J17" s="1">
        <f t="shared" si="4"/>
        <v>13.952349771502622</v>
      </c>
      <c r="K17" s="15">
        <f t="shared" si="5"/>
        <v>-5.075787345263311</v>
      </c>
      <c r="L17" s="15">
        <f t="shared" si="6"/>
        <v>3.243366961313736</v>
      </c>
      <c r="M17" s="5">
        <f t="shared" si="7"/>
        <v>13.418133717138407</v>
      </c>
      <c r="N17" s="1">
        <f t="shared" si="8"/>
        <v>0.6709066858569203</v>
      </c>
      <c r="O17" s="5">
        <f t="shared" si="10"/>
        <v>24.555184702363285</v>
      </c>
    </row>
    <row r="18" spans="1:15" ht="12.75">
      <c r="A18" s="1">
        <f t="shared" si="0"/>
        <v>1.79</v>
      </c>
      <c r="B18" s="59">
        <f t="shared" si="1"/>
        <v>24.3158863800667</v>
      </c>
      <c r="C18" s="12">
        <f t="shared" si="2"/>
        <v>1.4104497597473014</v>
      </c>
      <c r="D18" s="12">
        <f t="shared" si="3"/>
        <v>1.2200920610633634</v>
      </c>
      <c r="E18" s="1">
        <f t="shared" si="9"/>
        <v>-19.209550240252696</v>
      </c>
      <c r="F18" s="21"/>
      <c r="G18" s="21"/>
      <c r="H18" s="21"/>
      <c r="I18" s="21"/>
      <c r="J18" s="1">
        <f t="shared" si="4"/>
        <v>13.952349771502622</v>
      </c>
      <c r="K18" s="15">
        <f t="shared" si="5"/>
        <v>-5.257200468750074</v>
      </c>
      <c r="L18" s="15">
        <f t="shared" si="6"/>
        <v>3.168163816059618</v>
      </c>
      <c r="M18" s="5">
        <f t="shared" si="7"/>
        <v>13.343172076260538</v>
      </c>
      <c r="N18" s="1">
        <f t="shared" si="8"/>
        <v>0.6671586038130269</v>
      </c>
      <c r="O18" s="5">
        <f t="shared" si="10"/>
        <v>24.551436620319393</v>
      </c>
    </row>
    <row r="19" spans="1:15" ht="12.75">
      <c r="A19" s="1">
        <f>A20-$F$15</f>
        <v>1.8</v>
      </c>
      <c r="B19" s="59">
        <f t="shared" si="1"/>
        <v>24.237627879795298</v>
      </c>
      <c r="C19" s="12">
        <f t="shared" si="2"/>
        <v>1.229897696163757</v>
      </c>
      <c r="D19" s="12">
        <f t="shared" si="3"/>
        <v>1.14574648580553</v>
      </c>
      <c r="E19" s="1">
        <f t="shared" si="9"/>
        <v>-19.39010230383624</v>
      </c>
      <c r="F19" s="21"/>
      <c r="G19" s="21"/>
      <c r="H19" s="21"/>
      <c r="I19" s="21"/>
      <c r="J19" s="1">
        <f t="shared" si="4"/>
        <v>13.952349771502622</v>
      </c>
      <c r="K19" s="15">
        <f t="shared" si="5"/>
        <v>-5.437752532333619</v>
      </c>
      <c r="L19" s="15">
        <f t="shared" si="6"/>
        <v>3.0938182408017845</v>
      </c>
      <c r="M19" s="5">
        <f t="shared" si="7"/>
        <v>13.269043342503535</v>
      </c>
      <c r="N19" s="1">
        <f t="shared" si="8"/>
        <v>0.6634521671251767</v>
      </c>
      <c r="O19" s="5">
        <f t="shared" si="10"/>
        <v>24.54773018363154</v>
      </c>
    </row>
    <row r="20" spans="1:16" ht="12.75">
      <c r="A20" s="3">
        <f>B2</f>
        <v>1.81</v>
      </c>
      <c r="B20" s="59">
        <f t="shared" si="1"/>
        <v>24.160256741461446</v>
      </c>
      <c r="C20" s="56">
        <f t="shared" si="2"/>
        <v>1.050192039416224</v>
      </c>
      <c r="D20" s="56">
        <f>B20*((100-$E$2)/100)+$A$8+$A$9</f>
        <v>1.0722439043883707</v>
      </c>
      <c r="E20" s="3">
        <f t="shared" si="9"/>
        <v>-19.569807960583773</v>
      </c>
      <c r="F20" s="41"/>
      <c r="G20" s="41"/>
      <c r="H20" s="41"/>
      <c r="I20" s="41"/>
      <c r="J20" s="3">
        <f t="shared" si="4"/>
        <v>13.952349771502622</v>
      </c>
      <c r="K20" s="3">
        <f t="shared" si="5"/>
        <v>-5.617458189081152</v>
      </c>
      <c r="L20" s="3">
        <f t="shared" si="6"/>
        <v>3.020315659384625</v>
      </c>
      <c r="M20" s="38">
        <f t="shared" si="7"/>
        <v>13.195733710776997</v>
      </c>
      <c r="N20" s="3">
        <f t="shared" si="8"/>
        <v>0.6597866855388499</v>
      </c>
      <c r="O20" s="38">
        <f t="shared" si="10"/>
        <v>24.544064702045215</v>
      </c>
      <c r="P20" s="5" t="s">
        <v>48</v>
      </c>
    </row>
    <row r="21" spans="1:16" ht="12.75">
      <c r="A21" s="1">
        <f>A20+$F$15</f>
        <v>1.82</v>
      </c>
      <c r="B21" s="59">
        <f t="shared" si="1"/>
        <v>24.08375796729468</v>
      </c>
      <c r="C21" s="12">
        <f t="shared" si="2"/>
        <v>0.8713184668183587</v>
      </c>
      <c r="D21" s="12">
        <f t="shared" si="3"/>
        <v>0.9995700689299429</v>
      </c>
      <c r="E21" s="1">
        <f t="shared" si="9"/>
        <v>-19.74868153318164</v>
      </c>
      <c r="F21" s="21"/>
      <c r="G21" s="21"/>
      <c r="H21" s="21"/>
      <c r="I21" s="21"/>
      <c r="J21" s="1">
        <f t="shared" si="4"/>
        <v>13.952349771502622</v>
      </c>
      <c r="K21" s="15">
        <f t="shared" si="5"/>
        <v>-5.796331761679017</v>
      </c>
      <c r="L21" s="15">
        <f t="shared" si="6"/>
        <v>2.9476418239261974</v>
      </c>
      <c r="M21" s="5">
        <f t="shared" si="7"/>
        <v>13.1232296793991</v>
      </c>
      <c r="N21" s="1">
        <f t="shared" si="8"/>
        <v>0.656161483969955</v>
      </c>
      <c r="O21" s="5">
        <f t="shared" si="10"/>
        <v>24.54043950047632</v>
      </c>
      <c r="P21" s="5" t="s">
        <v>49</v>
      </c>
    </row>
    <row r="22" spans="1:15" ht="12.75">
      <c r="A22" s="1">
        <f aca="true" t="shared" si="11" ref="A22:A28">A21+$F$15</f>
        <v>1.83</v>
      </c>
      <c r="B22" s="59">
        <f t="shared" si="1"/>
        <v>24.008116895408033</v>
      </c>
      <c r="C22" s="12">
        <f t="shared" si="2"/>
        <v>0.6932629768113294</v>
      </c>
      <c r="D22" s="12">
        <f t="shared" si="3"/>
        <v>0.9277110506376314</v>
      </c>
      <c r="E22" s="1">
        <f t="shared" si="9"/>
        <v>-19.926737023188668</v>
      </c>
      <c r="F22" s="21"/>
      <c r="G22" s="21"/>
      <c r="H22" s="21"/>
      <c r="I22" s="21"/>
      <c r="J22" s="1">
        <f t="shared" si="4"/>
        <v>13.952349771502622</v>
      </c>
      <c r="K22" s="15">
        <f t="shared" si="5"/>
        <v>-5.974387251686046</v>
      </c>
      <c r="L22" s="15">
        <f t="shared" si="6"/>
        <v>2.875782805633886</v>
      </c>
      <c r="M22" s="5">
        <f t="shared" si="7"/>
        <v>13.051518041806755</v>
      </c>
      <c r="N22" s="1">
        <f t="shared" si="8"/>
        <v>0.6525759020903378</v>
      </c>
      <c r="O22" s="5">
        <f t="shared" si="10"/>
        <v>24.5368539185967</v>
      </c>
    </row>
    <row r="23" spans="1:15" ht="12.75">
      <c r="A23" s="1">
        <f t="shared" si="11"/>
        <v>1.84</v>
      </c>
      <c r="B23" s="59">
        <f t="shared" si="1"/>
        <v>23.933319190452806</v>
      </c>
      <c r="C23" s="12">
        <f t="shared" si="2"/>
        <v>0.5160118800196365</v>
      </c>
      <c r="D23" s="12">
        <f t="shared" si="3"/>
        <v>0.8566532309301653</v>
      </c>
      <c r="E23" s="1">
        <f t="shared" si="9"/>
        <v>-20.10398811998036</v>
      </c>
      <c r="F23" s="21"/>
      <c r="G23" s="21"/>
      <c r="H23" s="21"/>
      <c r="I23" s="21"/>
      <c r="J23" s="1">
        <f t="shared" si="4"/>
        <v>13.952349771502622</v>
      </c>
      <c r="K23" s="15">
        <f t="shared" si="5"/>
        <v>-6.151638348477739</v>
      </c>
      <c r="L23" s="15">
        <f t="shared" si="6"/>
        <v>2.80472498592642</v>
      </c>
      <c r="M23" s="5">
        <f t="shared" si="7"/>
        <v>12.980585878536067</v>
      </c>
      <c r="N23" s="1">
        <f t="shared" si="8"/>
        <v>0.6490292939268033</v>
      </c>
      <c r="O23" s="5">
        <f t="shared" si="10"/>
        <v>24.533307310433166</v>
      </c>
    </row>
    <row r="24" spans="1:18" ht="12.75">
      <c r="A24" s="1">
        <f t="shared" si="11"/>
        <v>1.85</v>
      </c>
      <c r="B24" s="59">
        <f t="shared" si="1"/>
        <v>23.859350834583516</v>
      </c>
      <c r="C24" s="12">
        <f t="shared" si="2"/>
        <v>0.33955179060400553</v>
      </c>
      <c r="D24" s="12">
        <f t="shared" si="3"/>
        <v>0.7863832928543371</v>
      </c>
      <c r="E24" s="1">
        <f t="shared" si="9"/>
        <v>-20.280448209395992</v>
      </c>
      <c r="F24" s="21"/>
      <c r="G24" s="21"/>
      <c r="H24" s="21"/>
      <c r="I24" s="21"/>
      <c r="J24" s="1">
        <f t="shared" si="4"/>
        <v>13.952349771502622</v>
      </c>
      <c r="K24" s="15">
        <f t="shared" si="5"/>
        <v>-6.32809843789337</v>
      </c>
      <c r="L24" s="15">
        <f t="shared" si="6"/>
        <v>2.7344550478505916</v>
      </c>
      <c r="M24" s="5">
        <f t="shared" si="7"/>
        <v>12.910420549462899</v>
      </c>
      <c r="N24" s="1">
        <f t="shared" si="8"/>
        <v>0.6455210274731449</v>
      </c>
      <c r="O24" s="5">
        <f t="shared" si="10"/>
        <v>24.52979904397951</v>
      </c>
      <c r="R24" s="19"/>
    </row>
    <row r="25" spans="1:18" ht="12.75">
      <c r="A25" s="1">
        <f t="shared" si="11"/>
        <v>1.86</v>
      </c>
      <c r="B25" s="59">
        <f t="shared" si="1"/>
        <v>23.786198118720996</v>
      </c>
      <c r="C25" s="12">
        <f t="shared" si="2"/>
        <v>0.16386961789993748</v>
      </c>
      <c r="D25" s="12">
        <f t="shared" si="3"/>
        <v>0.7168882127849461</v>
      </c>
      <c r="E25" s="1">
        <f t="shared" si="9"/>
        <v>-20.45613038210006</v>
      </c>
      <c r="F25" s="21"/>
      <c r="G25" s="21"/>
      <c r="H25" s="21"/>
      <c r="I25" s="21"/>
      <c r="J25" s="1">
        <f t="shared" si="4"/>
        <v>13.952349771502622</v>
      </c>
      <c r="K25" s="15">
        <f t="shared" si="5"/>
        <v>-6.503780610597438</v>
      </c>
      <c r="L25" s="15">
        <f t="shared" si="6"/>
        <v>2.6649599677812006</v>
      </c>
      <c r="M25" s="5">
        <f t="shared" si="7"/>
        <v>12.841009686293743</v>
      </c>
      <c r="N25" s="1">
        <f t="shared" si="8"/>
        <v>0.6420504843146871</v>
      </c>
      <c r="O25" s="5">
        <f t="shared" si="10"/>
        <v>24.52632850082105</v>
      </c>
      <c r="R25" s="19"/>
    </row>
    <row r="26" spans="1:15" ht="12.75">
      <c r="A26" s="1">
        <f t="shared" si="11"/>
        <v>1.87</v>
      </c>
      <c r="B26" s="59">
        <f t="shared" si="1"/>
        <v>23.713847634102265</v>
      </c>
      <c r="C26" s="12">
        <f t="shared" si="2"/>
        <v>-0.011047441668974756</v>
      </c>
      <c r="D26" s="12">
        <f t="shared" si="3"/>
        <v>0.6481552523971512</v>
      </c>
      <c r="E26" s="1">
        <f t="shared" si="9"/>
        <v>-20.631047441668972</v>
      </c>
      <c r="F26" s="21"/>
      <c r="G26" s="21"/>
      <c r="H26" s="21"/>
      <c r="I26" s="21"/>
      <c r="J26" s="1">
        <f t="shared" si="4"/>
        <v>13.952349771502622</v>
      </c>
      <c r="K26" s="15">
        <f t="shared" si="5"/>
        <v>-6.6786976701663505</v>
      </c>
      <c r="L26" s="15">
        <f t="shared" si="6"/>
        <v>2.5962270073934057</v>
      </c>
      <c r="M26" s="5">
        <f t="shared" si="7"/>
        <v>12.77234118529752</v>
      </c>
      <c r="N26" s="1">
        <f t="shared" si="8"/>
        <v>0.638617059264876</v>
      </c>
      <c r="O26" s="5">
        <f t="shared" si="10"/>
        <v>24.522895075771242</v>
      </c>
    </row>
    <row r="27" spans="1:18" ht="12.75">
      <c r="A27" s="1">
        <f t="shared" si="11"/>
        <v>1.8800000000000001</v>
      </c>
      <c r="B27" s="59">
        <f t="shared" si="1"/>
        <v>23.642286264106293</v>
      </c>
      <c r="C27" s="12">
        <f t="shared" si="2"/>
        <v>-0.18521191241354273</v>
      </c>
      <c r="D27" s="12">
        <f t="shared" si="3"/>
        <v>0.5801719509009775</v>
      </c>
      <c r="E27" s="1">
        <f t="shared" si="9"/>
        <v>-20.80521191241354</v>
      </c>
      <c r="F27" s="21"/>
      <c r="G27" s="21"/>
      <c r="H27" s="21"/>
      <c r="I27" s="21"/>
      <c r="J27" s="1">
        <f t="shared" si="4"/>
        <v>13.952349771502622</v>
      </c>
      <c r="K27" s="15">
        <f t="shared" si="5"/>
        <v>-6.8528621409109185</v>
      </c>
      <c r="L27" s="15">
        <f t="shared" si="6"/>
        <v>2.528243705897232</v>
      </c>
      <c r="M27" s="5">
        <f t="shared" si="7"/>
        <v>12.704403200269342</v>
      </c>
      <c r="N27" s="1">
        <f t="shared" si="8"/>
        <v>0.635220160013467</v>
      </c>
      <c r="O27" s="5">
        <f t="shared" si="10"/>
        <v>24.519498176519832</v>
      </c>
      <c r="R27" s="19"/>
    </row>
    <row r="28" spans="1:15" ht="12.75">
      <c r="A28" s="1">
        <f t="shared" si="11"/>
        <v>1.8900000000000001</v>
      </c>
      <c r="B28" s="59">
        <f>(O28/A28)-$B$30*-1</f>
        <v>23.5715011763451</v>
      </c>
      <c r="C28" s="12">
        <f t="shared" si="2"/>
        <v>-0.35863604694714724</v>
      </c>
      <c r="D28" s="12">
        <f>B28*((100-$E$2)/100)+$A$8+$A$9</f>
        <v>0.5129261175278454</v>
      </c>
      <c r="E28" s="1">
        <f t="shared" si="9"/>
        <v>-20.978636046947145</v>
      </c>
      <c r="F28" s="21"/>
      <c r="G28" s="21"/>
      <c r="H28" s="21"/>
      <c r="I28" s="21"/>
      <c r="J28" s="1">
        <f t="shared" si="4"/>
        <v>13.952349771502622</v>
      </c>
      <c r="K28" s="15">
        <f t="shared" si="5"/>
        <v>-7.026286275444523</v>
      </c>
      <c r="L28" s="15">
        <f t="shared" si="6"/>
        <v>2.4609978725241</v>
      </c>
      <c r="M28" s="5">
        <f t="shared" si="7"/>
        <v>12.637184135717652</v>
      </c>
      <c r="N28" s="1">
        <f t="shared" si="8"/>
        <v>0.6318592067858826</v>
      </c>
      <c r="O28" s="5">
        <f t="shared" si="10"/>
        <v>24.516137223292247</v>
      </c>
    </row>
    <row r="29" spans="2:13" ht="12.75">
      <c r="B29" s="22"/>
      <c r="F29" s="21"/>
      <c r="G29" s="21"/>
      <c r="H29" s="21"/>
      <c r="I29" s="21"/>
      <c r="J29" s="21"/>
      <c r="L29" s="5"/>
      <c r="M29" s="5"/>
    </row>
    <row r="30" spans="1:13" ht="12.75">
      <c r="A30" s="23" t="s">
        <v>12</v>
      </c>
      <c r="B30" s="63">
        <v>10.6</v>
      </c>
      <c r="C30" s="58" t="s">
        <v>43</v>
      </c>
      <c r="D30" s="55"/>
      <c r="E30" s="55"/>
      <c r="F30" s="21"/>
      <c r="G30" s="21"/>
      <c r="H30" s="21"/>
      <c r="I30" s="21"/>
      <c r="J30" s="21"/>
      <c r="L30" s="5"/>
      <c r="M30" s="5"/>
    </row>
    <row r="31" spans="1:13" ht="12.75">
      <c r="A31" s="16"/>
      <c r="B31" s="16"/>
      <c r="C31" s="49"/>
      <c r="D31" s="50"/>
      <c r="E31" s="25"/>
      <c r="F31" s="25"/>
      <c r="G31" s="25"/>
      <c r="H31" s="25"/>
      <c r="I31" s="25"/>
      <c r="J31" s="25"/>
      <c r="L31" s="5"/>
      <c r="M31" s="5"/>
    </row>
    <row r="32" spans="1:13" ht="12.75">
      <c r="A32" s="10" t="s">
        <v>59</v>
      </c>
      <c r="B32" s="22"/>
      <c r="C32" s="12"/>
      <c r="D32" s="12"/>
      <c r="E32" s="26"/>
      <c r="F32" s="26"/>
      <c r="G32" s="25"/>
      <c r="H32" s="25"/>
      <c r="I32" s="25"/>
      <c r="J32" s="25"/>
      <c r="L32" s="5"/>
      <c r="M32" s="5"/>
    </row>
    <row r="33" spans="1:13" ht="12.75">
      <c r="A33" s="10" t="s">
        <v>13</v>
      </c>
      <c r="B33" s="14"/>
      <c r="C33" s="12"/>
      <c r="D33" s="12"/>
      <c r="E33" s="26"/>
      <c r="F33" s="26"/>
      <c r="G33" s="25"/>
      <c r="H33" s="25"/>
      <c r="I33" s="25"/>
      <c r="J33" s="25"/>
      <c r="L33" s="5"/>
      <c r="M33" s="5"/>
    </row>
    <row r="34" spans="1:10" ht="12.75">
      <c r="A34" s="32" t="s">
        <v>17</v>
      </c>
      <c r="B34" s="22"/>
      <c r="C34" s="12"/>
      <c r="D34" s="27"/>
      <c r="E34" s="26"/>
      <c r="F34" s="26"/>
      <c r="G34" s="25"/>
      <c r="H34" s="25"/>
      <c r="I34" s="25"/>
      <c r="J34" s="25"/>
    </row>
    <row r="35" spans="1:10" ht="12.75">
      <c r="A35" s="5"/>
      <c r="B35" s="22"/>
      <c r="C35" s="12"/>
      <c r="D35" s="22"/>
      <c r="E35" s="28"/>
      <c r="F35" s="26"/>
      <c r="G35" s="25"/>
      <c r="H35" s="25"/>
      <c r="I35" s="25"/>
      <c r="J35" s="25"/>
    </row>
    <row r="36" spans="1:10" ht="12.75">
      <c r="A36" s="10" t="s">
        <v>52</v>
      </c>
      <c r="B36" s="22"/>
      <c r="C36" s="12"/>
      <c r="D36" s="22"/>
      <c r="E36" s="28"/>
      <c r="F36" s="26"/>
      <c r="G36" s="25"/>
      <c r="H36" s="25"/>
      <c r="I36" s="25"/>
      <c r="J36" s="25"/>
    </row>
    <row r="37" spans="1:10" ht="12.75">
      <c r="A37" s="10" t="s">
        <v>53</v>
      </c>
      <c r="B37" s="22"/>
      <c r="C37" s="12"/>
      <c r="D37" s="22"/>
      <c r="E37" s="28"/>
      <c r="F37" s="26"/>
      <c r="G37" s="25"/>
      <c r="H37" s="25"/>
      <c r="I37" s="25"/>
      <c r="J37" s="25"/>
    </row>
    <row r="38" spans="1:10" ht="12.75">
      <c r="A38" s="10" t="s">
        <v>54</v>
      </c>
      <c r="B38" s="22"/>
      <c r="C38" s="12"/>
      <c r="D38" s="22"/>
      <c r="E38" s="28"/>
      <c r="F38" s="26"/>
      <c r="G38" s="25"/>
      <c r="H38" s="25"/>
      <c r="I38" s="25"/>
      <c r="J38" s="25"/>
    </row>
    <row r="39" spans="1:10" ht="12.75">
      <c r="A39" s="10"/>
      <c r="B39" s="22"/>
      <c r="C39" s="12"/>
      <c r="D39" s="22"/>
      <c r="E39" s="28"/>
      <c r="F39" s="26"/>
      <c r="G39" s="25"/>
      <c r="H39" s="25"/>
      <c r="I39" s="25"/>
      <c r="J39" s="25"/>
    </row>
    <row r="40" spans="1:10" ht="12.75">
      <c r="A40" s="10" t="s">
        <v>55</v>
      </c>
      <c r="B40" s="22"/>
      <c r="C40" s="12"/>
      <c r="D40" s="22"/>
      <c r="E40" s="28"/>
      <c r="F40" s="26"/>
      <c r="G40" s="25"/>
      <c r="H40" s="25"/>
      <c r="I40" s="25"/>
      <c r="J40" s="25"/>
    </row>
    <row r="41" spans="1:10" ht="12.75">
      <c r="A41" s="31" t="s">
        <v>16</v>
      </c>
      <c r="B41" s="22"/>
      <c r="C41" s="12"/>
      <c r="D41" s="27"/>
      <c r="E41" s="26"/>
      <c r="F41" s="26"/>
      <c r="G41" s="25"/>
      <c r="H41" s="25"/>
      <c r="I41" s="25"/>
      <c r="J41" s="25"/>
    </row>
    <row r="42" spans="2:13" s="29" customFormat="1" ht="12.75">
      <c r="B42" s="12"/>
      <c r="C42" s="12"/>
      <c r="D42" s="14"/>
      <c r="G42" s="30"/>
      <c r="H42" s="30"/>
      <c r="I42" s="30"/>
      <c r="J42" s="30"/>
      <c r="K42" s="12"/>
      <c r="L42" s="12"/>
      <c r="M42" s="12"/>
    </row>
    <row r="43" spans="1:13" s="29" customFormat="1" ht="12.75">
      <c r="A43" s="34" t="s">
        <v>56</v>
      </c>
      <c r="B43" s="12"/>
      <c r="C43" s="12"/>
      <c r="D43" s="14"/>
      <c r="G43" s="30"/>
      <c r="H43" s="30"/>
      <c r="I43" s="30"/>
      <c r="J43" s="30"/>
      <c r="K43" s="12"/>
      <c r="L43" s="12"/>
      <c r="M43" s="12"/>
    </row>
    <row r="44" spans="1:13" s="29" customFormat="1" ht="12.75">
      <c r="A44" s="10" t="s">
        <v>57</v>
      </c>
      <c r="B44" s="12"/>
      <c r="C44" s="12"/>
      <c r="D44" s="14"/>
      <c r="G44" s="30"/>
      <c r="H44" s="30"/>
      <c r="I44" s="30"/>
      <c r="J44" s="30"/>
      <c r="K44" s="12"/>
      <c r="L44" s="12"/>
      <c r="M44" s="12"/>
    </row>
    <row r="45" spans="1:13" s="29" customFormat="1" ht="12.75">
      <c r="A45" s="14"/>
      <c r="B45" s="12"/>
      <c r="C45" s="12"/>
      <c r="D45" s="14"/>
      <c r="G45" s="30"/>
      <c r="H45" s="30"/>
      <c r="I45" s="30"/>
      <c r="J45" s="30"/>
      <c r="K45" s="12"/>
      <c r="L45" s="12"/>
      <c r="M45" s="12"/>
    </row>
    <row r="46" spans="1:10" ht="12.75">
      <c r="A46" s="10" t="s">
        <v>20</v>
      </c>
      <c r="B46" s="16"/>
      <c r="C46" s="12"/>
      <c r="D46" s="22"/>
      <c r="E46" s="26"/>
      <c r="F46" s="26"/>
      <c r="G46" s="33"/>
      <c r="H46" s="16"/>
      <c r="I46" s="16"/>
      <c r="J46" s="16"/>
    </row>
    <row r="47" ht="12.75">
      <c r="A47" s="10" t="s">
        <v>21</v>
      </c>
    </row>
    <row r="48" ht="12.75">
      <c r="A48" s="10" t="s">
        <v>22</v>
      </c>
    </row>
    <row r="49" ht="12.75">
      <c r="A49" s="10" t="s">
        <v>23</v>
      </c>
    </row>
    <row r="51" ht="12.75">
      <c r="A51" s="35" t="s">
        <v>29</v>
      </c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7" ht="12.75">
      <c r="A57" s="5"/>
    </row>
  </sheetData>
  <sheetProtection password="D95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1" sqref="A11"/>
    </sheetView>
  </sheetViews>
  <sheetFormatPr defaultColWidth="9.140625" defaultRowHeight="12.75"/>
  <cols>
    <col min="1" max="1" width="13.28125" style="1" customWidth="1"/>
    <col min="2" max="2" width="9.140625" style="1" customWidth="1"/>
    <col min="3" max="3" width="15.00390625" style="6" bestFit="1" customWidth="1"/>
    <col min="4" max="4" width="9.140625" style="7" customWidth="1"/>
    <col min="5" max="5" width="14.421875" style="1" customWidth="1"/>
    <col min="6" max="6" width="5.140625" style="1" hidden="1" customWidth="1"/>
    <col min="7" max="7" width="4.140625" style="10" hidden="1" customWidth="1"/>
    <col min="8" max="8" width="4.421875" style="1" hidden="1" customWidth="1"/>
    <col min="9" max="9" width="4.140625" style="1" hidden="1" customWidth="1"/>
    <col min="10" max="10" width="8.421875" style="1" hidden="1" customWidth="1"/>
    <col min="11" max="11" width="11.28125" style="1" hidden="1" customWidth="1"/>
    <col min="12" max="13" width="12.00390625" style="1" hidden="1" customWidth="1"/>
    <col min="14" max="14" width="5.140625" style="5" hidden="1" customWidth="1"/>
    <col min="15" max="15" width="7.140625" style="5" hidden="1" customWidth="1"/>
    <col min="16" max="16384" width="9.140625" style="5" customWidth="1"/>
  </cols>
  <sheetData>
    <row r="1" spans="1:12" ht="12.75">
      <c r="A1" s="1" t="s">
        <v>0</v>
      </c>
      <c r="B1" s="1" t="s">
        <v>1</v>
      </c>
      <c r="E1" s="3" t="s">
        <v>3</v>
      </c>
      <c r="F1" s="1">
        <f>IF(B2&lt;2.01,0.01,0)</f>
        <v>0</v>
      </c>
      <c r="G1" s="4">
        <v>1</v>
      </c>
      <c r="H1" s="4">
        <v>2</v>
      </c>
      <c r="I1" s="4">
        <v>0.01</v>
      </c>
      <c r="K1" s="1" t="s">
        <v>3</v>
      </c>
      <c r="L1" s="1" t="s">
        <v>4</v>
      </c>
    </row>
    <row r="2" spans="1:12" ht="12.75">
      <c r="A2" s="53">
        <v>3.3</v>
      </c>
      <c r="B2" s="40">
        <v>3.4</v>
      </c>
      <c r="E2" s="8">
        <v>5</v>
      </c>
      <c r="F2" s="1">
        <f>IF(AND($B$2&gt;2.01,$B$2&lt;3.01),0.02,0)</f>
        <v>0</v>
      </c>
      <c r="G2" s="9">
        <v>2.02</v>
      </c>
      <c r="H2" s="9">
        <v>3</v>
      </c>
      <c r="I2" s="9">
        <v>0.02</v>
      </c>
      <c r="L2" s="1">
        <f>(L6*A2)-'Cash Refund'!A4</f>
        <v>153.2622426470588</v>
      </c>
    </row>
    <row r="3" spans="1:18" ht="12.75">
      <c r="A3" s="5"/>
      <c r="B3" s="5"/>
      <c r="D3" s="5"/>
      <c r="E3" s="5"/>
      <c r="F3" s="1">
        <f>IF(AND($B$2&gt;3,$B$2&lt;4.01),0.05,0)</f>
        <v>0.05</v>
      </c>
      <c r="G3" s="4">
        <v>3.05</v>
      </c>
      <c r="H3" s="4">
        <v>4</v>
      </c>
      <c r="I3" s="4">
        <v>0.05</v>
      </c>
      <c r="K3" s="1">
        <f>(100-E2)/100</f>
        <v>0.95</v>
      </c>
      <c r="R3" s="45" t="s">
        <v>50</v>
      </c>
    </row>
    <row r="4" spans="1:18" ht="12.75">
      <c r="A4" s="68">
        <v>10</v>
      </c>
      <c r="B4" s="38" t="s">
        <v>51</v>
      </c>
      <c r="C4" s="16"/>
      <c r="D4" s="5"/>
      <c r="E4" s="36"/>
      <c r="F4" s="1">
        <f>IF(AND($B$2&gt;4,$B$2&lt;6.01),0.1,0)</f>
        <v>0</v>
      </c>
      <c r="G4" s="4">
        <v>4.1</v>
      </c>
      <c r="H4" s="4">
        <v>6</v>
      </c>
      <c r="I4" s="4">
        <v>0.1</v>
      </c>
      <c r="K4" s="1">
        <f>E2/100</f>
        <v>0.05</v>
      </c>
      <c r="L4" s="5"/>
      <c r="M4" s="5"/>
      <c r="R4" s="38" t="s">
        <v>46</v>
      </c>
    </row>
    <row r="5" spans="1:18" ht="12.75">
      <c r="A5" s="64">
        <v>2.5</v>
      </c>
      <c r="B5" s="52" t="s">
        <v>37</v>
      </c>
      <c r="C5" s="12"/>
      <c r="D5" s="57">
        <f>D6-A4</f>
        <v>137.67499999999998</v>
      </c>
      <c r="E5" s="48" t="s">
        <v>34</v>
      </c>
      <c r="F5" s="1">
        <f>IF(AND($B$2&gt;6,$B$2&lt;10.01),0.2,0)</f>
        <v>0</v>
      </c>
      <c r="G5" s="4">
        <v>6.2</v>
      </c>
      <c r="H5" s="4">
        <v>10</v>
      </c>
      <c r="I5" s="4">
        <v>0.2</v>
      </c>
      <c r="R5" s="52" t="s">
        <v>44</v>
      </c>
    </row>
    <row r="6" spans="1:13" ht="12.75">
      <c r="A6" s="64">
        <v>1.79</v>
      </c>
      <c r="B6" s="52" t="s">
        <v>40</v>
      </c>
      <c r="C6" s="16"/>
      <c r="D6" s="5">
        <f>A4*A5*A6*A2</f>
        <v>147.67499999999998</v>
      </c>
      <c r="E6" s="48" t="s">
        <v>39</v>
      </c>
      <c r="F6" s="1">
        <f>IF(AND($B$2&gt;10,$B$2&lt;20.01),0.5,0)</f>
        <v>0</v>
      </c>
      <c r="G6" s="4">
        <v>10.5</v>
      </c>
      <c r="H6" s="4">
        <v>20</v>
      </c>
      <c r="I6" s="4">
        <v>0.5</v>
      </c>
      <c r="K6" s="5" t="s">
        <v>36</v>
      </c>
      <c r="L6" s="66">
        <f>(D5+A9)/(B2-1)-(A4/B2)</f>
        <v>49.473406862745094</v>
      </c>
      <c r="M6" s="48"/>
    </row>
    <row r="7" spans="1:13" ht="12.75">
      <c r="A7" s="51">
        <f>A4*A5*A6</f>
        <v>44.75</v>
      </c>
      <c r="B7" s="48" t="s">
        <v>35</v>
      </c>
      <c r="C7" s="16"/>
      <c r="D7" s="5"/>
      <c r="E7" s="11"/>
      <c r="G7" s="4"/>
      <c r="H7" s="4"/>
      <c r="I7" s="4"/>
      <c r="M7" s="48"/>
    </row>
    <row r="8" spans="1:13" ht="12.75">
      <c r="A8" s="12">
        <f>A4*-1</f>
        <v>-10</v>
      </c>
      <c r="B8" s="14" t="s">
        <v>33</v>
      </c>
      <c r="C8" s="16"/>
      <c r="D8" s="5"/>
      <c r="E8" s="48"/>
      <c r="G8" s="4"/>
      <c r="H8" s="4"/>
      <c r="I8" s="4"/>
      <c r="M8" s="48"/>
    </row>
    <row r="9" spans="1:18" ht="12.75">
      <c r="A9" s="65">
        <v>-11.88</v>
      </c>
      <c r="B9" s="54" t="s">
        <v>38</v>
      </c>
      <c r="C9" s="16"/>
      <c r="D9" s="5"/>
      <c r="E9" s="11"/>
      <c r="G9" s="4"/>
      <c r="H9" s="4"/>
      <c r="I9" s="4"/>
      <c r="M9" s="48"/>
      <c r="R9" s="54" t="s">
        <v>45</v>
      </c>
    </row>
    <row r="10" spans="1:13" ht="12.75">
      <c r="A10" s="68">
        <v>-19.57</v>
      </c>
      <c r="B10" s="54" t="s">
        <v>41</v>
      </c>
      <c r="C10" s="13"/>
      <c r="D10" s="14"/>
      <c r="E10" s="5"/>
      <c r="F10" s="1">
        <f>IF(AND($B$2&gt;20,$B$2&lt;30.01),1,0)</f>
        <v>0</v>
      </c>
      <c r="G10" s="4">
        <v>21</v>
      </c>
      <c r="H10" s="4">
        <v>30</v>
      </c>
      <c r="I10" s="4">
        <v>1</v>
      </c>
      <c r="M10" s="5" t="s">
        <v>4</v>
      </c>
    </row>
    <row r="11" spans="2:12" ht="12.75">
      <c r="B11" s="5"/>
      <c r="C11" s="13"/>
      <c r="D11" s="14"/>
      <c r="E11" s="5"/>
      <c r="G11" s="4"/>
      <c r="H11" s="4"/>
      <c r="I11" s="4"/>
      <c r="L11" s="5"/>
    </row>
    <row r="12" spans="1:15" ht="12.75">
      <c r="A12" s="15" t="s">
        <v>1</v>
      </c>
      <c r="B12" s="12" t="s">
        <v>5</v>
      </c>
      <c r="C12" s="1" t="s">
        <v>6</v>
      </c>
      <c r="D12" s="1" t="s">
        <v>7</v>
      </c>
      <c r="E12" s="1" t="s">
        <v>8</v>
      </c>
      <c r="F12" s="1">
        <f>IF(AND($B$2&gt;30,$B$2&lt;50.01),2,0)</f>
        <v>0</v>
      </c>
      <c r="G12" s="4">
        <v>32</v>
      </c>
      <c r="H12" s="4">
        <v>50</v>
      </c>
      <c r="I12" s="4">
        <v>2</v>
      </c>
      <c r="J12" s="1" t="s">
        <v>9</v>
      </c>
      <c r="M12" s="1" t="s">
        <v>10</v>
      </c>
      <c r="N12" s="1">
        <v>0.05</v>
      </c>
      <c r="O12" s="5" t="s">
        <v>11</v>
      </c>
    </row>
    <row r="13" spans="1:15" ht="12.75">
      <c r="A13" s="1">
        <f aca="true" t="shared" si="0" ref="A13:A18">A14-$F$15</f>
        <v>3.050000000000001</v>
      </c>
      <c r="B13" s="17">
        <f aca="true" t="shared" si="1" ref="B13:B28">(O13/A13)+$B$30*-1</f>
        <v>49.42368473054363</v>
      </c>
      <c r="C13" s="12">
        <f aca="true" t="shared" si="2" ref="C13:C28">$D$5+$A$9+$A$10+E13</f>
        <v>4.906446302385504</v>
      </c>
      <c r="D13" s="22">
        <f aca="true" t="shared" si="3" ref="D13:D28">B13*((100-$E$2)/100)+$A$8+$A$9+$A$10</f>
        <v>5.502500494016438</v>
      </c>
      <c r="E13" s="1">
        <f>B13*(A13-1)*-1</f>
        <v>-101.31855369761449</v>
      </c>
      <c r="F13" s="18">
        <f>IF(AND($B$2&gt;50,$B$2&lt;100.01),5,0)</f>
        <v>0</v>
      </c>
      <c r="G13" s="4">
        <v>55</v>
      </c>
      <c r="H13" s="4">
        <v>100</v>
      </c>
      <c r="I13" s="4">
        <v>5</v>
      </c>
      <c r="J13" s="1">
        <f aca="true" t="shared" si="4" ref="J13:J28">$L$6*($A$2-1)</f>
        <v>113.7888357843137</v>
      </c>
      <c r="K13" s="16" t="s">
        <v>6</v>
      </c>
      <c r="L13" s="12" t="s">
        <v>7</v>
      </c>
      <c r="M13" s="5">
        <f aca="true" t="shared" si="5" ref="M13:M28">$L$2/A13</f>
        <v>50.249915621986474</v>
      </c>
      <c r="N13" s="1">
        <f aca="true" t="shared" si="6" ref="N13:N28">M13*$E$2/100</f>
        <v>2.512495781099324</v>
      </c>
      <c r="O13" s="5">
        <f>$L$2+N13</f>
        <v>155.77473842815812</v>
      </c>
    </row>
    <row r="14" spans="1:15" ht="13.5" thickBot="1">
      <c r="A14" s="1">
        <f t="shared" si="0"/>
        <v>3.100000000000001</v>
      </c>
      <c r="B14" s="17">
        <f t="shared" si="1"/>
        <v>48.58684332343757</v>
      </c>
      <c r="C14" s="12">
        <f t="shared" si="2"/>
        <v>4.192629020781055</v>
      </c>
      <c r="D14" s="22">
        <f t="shared" si="3"/>
        <v>4.707501157265689</v>
      </c>
      <c r="E14" s="1">
        <f aca="true" t="shared" si="7" ref="E14:E28">B14*(A14-1)*-1</f>
        <v>-102.03237097921894</v>
      </c>
      <c r="F14" s="20">
        <f>IF(B2&gt;100,10,0)</f>
        <v>0</v>
      </c>
      <c r="G14" s="4">
        <v>110</v>
      </c>
      <c r="H14" s="4">
        <v>1000</v>
      </c>
      <c r="I14" s="4">
        <v>10</v>
      </c>
      <c r="J14" s="1">
        <f t="shared" si="4"/>
        <v>113.7888357843137</v>
      </c>
      <c r="K14" s="15">
        <f aca="true" t="shared" si="8" ref="K14:K29">$L$6*($A$2-1)-B13*(A13-1)</f>
        <v>12.470282086699214</v>
      </c>
      <c r="L14" s="15">
        <f aca="true" t="shared" si="9" ref="L14:L29">(B13*$K$3)-$L$6</f>
        <v>-2.520906368728653</v>
      </c>
      <c r="M14" s="5">
        <f t="shared" si="5"/>
        <v>49.439433111954436</v>
      </c>
      <c r="N14" s="1">
        <f t="shared" si="6"/>
        <v>2.471971655597722</v>
      </c>
      <c r="O14" s="5">
        <f aca="true" t="shared" si="10" ref="O14:O28">$L$2+N14</f>
        <v>155.7342143026565</v>
      </c>
    </row>
    <row r="15" spans="1:15" ht="12.75">
      <c r="A15" s="1">
        <f t="shared" si="0"/>
        <v>3.150000000000001</v>
      </c>
      <c r="B15" s="17">
        <f t="shared" si="1"/>
        <v>47.776976716612545</v>
      </c>
      <c r="C15" s="12">
        <f t="shared" si="2"/>
        <v>3.5045000592829894</v>
      </c>
      <c r="D15" s="22">
        <f t="shared" si="3"/>
        <v>3.938127880781913</v>
      </c>
      <c r="E15" s="1">
        <f t="shared" si="7"/>
        <v>-102.720499940717</v>
      </c>
      <c r="F15" s="3">
        <f>SUM(F1:F14)</f>
        <v>0.05</v>
      </c>
      <c r="J15" s="1">
        <f t="shared" si="4"/>
        <v>113.7888357843137</v>
      </c>
      <c r="K15" s="15">
        <f t="shared" si="8"/>
        <v>11.756464805094765</v>
      </c>
      <c r="L15" s="15">
        <f t="shared" si="9"/>
        <v>-3.315905705479402</v>
      </c>
      <c r="M15" s="5">
        <f t="shared" si="5"/>
        <v>48.65468020541548</v>
      </c>
      <c r="N15" s="1">
        <f t="shared" si="6"/>
        <v>2.432734010270774</v>
      </c>
      <c r="O15" s="5">
        <f t="shared" si="10"/>
        <v>155.69497665732956</v>
      </c>
    </row>
    <row r="16" spans="1:15" ht="12.75">
      <c r="A16" s="1">
        <f t="shared" si="0"/>
        <v>3.2000000000000006</v>
      </c>
      <c r="B16" s="17">
        <f t="shared" si="1"/>
        <v>46.992801621380956</v>
      </c>
      <c r="C16" s="12">
        <f t="shared" si="2"/>
        <v>2.840836432961865</v>
      </c>
      <c r="D16" s="22">
        <f t="shared" si="3"/>
        <v>3.1931615403119054</v>
      </c>
      <c r="E16" s="1">
        <f t="shared" si="7"/>
        <v>-103.38416356703813</v>
      </c>
      <c r="F16" s="3"/>
      <c r="J16" s="1">
        <f t="shared" si="4"/>
        <v>113.7888357843137</v>
      </c>
      <c r="K16" s="15">
        <f t="shared" si="8"/>
        <v>11.0683358435967</v>
      </c>
      <c r="L16" s="15">
        <f t="shared" si="9"/>
        <v>-4.085278981963178</v>
      </c>
      <c r="M16" s="5">
        <f t="shared" si="5"/>
        <v>47.894450827205866</v>
      </c>
      <c r="N16" s="1">
        <f t="shared" si="6"/>
        <v>2.3947225413602933</v>
      </c>
      <c r="O16" s="5">
        <f t="shared" si="10"/>
        <v>155.6569651884191</v>
      </c>
    </row>
    <row r="17" spans="1:15" ht="12.75">
      <c r="A17" s="1">
        <f t="shared" si="0"/>
        <v>3.2500000000000004</v>
      </c>
      <c r="B17" s="17">
        <f t="shared" si="1"/>
        <v>46.23311486251304</v>
      </c>
      <c r="C17" s="12">
        <f t="shared" si="2"/>
        <v>2.200491559345636</v>
      </c>
      <c r="D17" s="22">
        <f t="shared" si="3"/>
        <v>2.471459119387383</v>
      </c>
      <c r="E17" s="1">
        <f t="shared" si="7"/>
        <v>-104.02450844065436</v>
      </c>
      <c r="F17" s="21"/>
      <c r="G17" s="21"/>
      <c r="H17" s="21"/>
      <c r="I17" s="21"/>
      <c r="J17" s="1">
        <f t="shared" si="4"/>
        <v>113.7888357843137</v>
      </c>
      <c r="K17" s="15">
        <f t="shared" si="8"/>
        <v>10.404672217275575</v>
      </c>
      <c r="L17" s="15">
        <f t="shared" si="9"/>
        <v>-4.830245322433186</v>
      </c>
      <c r="M17" s="5">
        <f t="shared" si="5"/>
        <v>47.15761312217193</v>
      </c>
      <c r="N17" s="1">
        <f t="shared" si="6"/>
        <v>2.3578806561085965</v>
      </c>
      <c r="O17" s="5">
        <f t="shared" si="10"/>
        <v>155.6201233031674</v>
      </c>
    </row>
    <row r="18" spans="1:15" ht="12.75">
      <c r="A18" s="1">
        <f t="shared" si="0"/>
        <v>3.3000000000000003</v>
      </c>
      <c r="B18" s="17">
        <f t="shared" si="1"/>
        <v>45.496787223842695</v>
      </c>
      <c r="C18" s="12">
        <f t="shared" si="2"/>
        <v>1.5823893851617896</v>
      </c>
      <c r="D18" s="22">
        <f t="shared" si="3"/>
        <v>1.7719478626505563</v>
      </c>
      <c r="E18" s="1">
        <f t="shared" si="7"/>
        <v>-104.6426106148382</v>
      </c>
      <c r="F18" s="21"/>
      <c r="G18" s="21"/>
      <c r="H18" s="21"/>
      <c r="I18" s="21"/>
      <c r="J18" s="1">
        <f t="shared" si="4"/>
        <v>113.7888357843137</v>
      </c>
      <c r="K18" s="15">
        <f t="shared" si="8"/>
        <v>9.764327343659346</v>
      </c>
      <c r="L18" s="15">
        <f t="shared" si="9"/>
        <v>-5.551947743357708</v>
      </c>
      <c r="M18" s="5">
        <f t="shared" si="5"/>
        <v>46.443103832442056</v>
      </c>
      <c r="N18" s="1">
        <f t="shared" si="6"/>
        <v>2.322155191622103</v>
      </c>
      <c r="O18" s="5">
        <f t="shared" si="10"/>
        <v>155.5843978386809</v>
      </c>
    </row>
    <row r="19" spans="1:20" ht="12.75">
      <c r="A19" s="1">
        <f>A20-$F$15</f>
        <v>3.35</v>
      </c>
      <c r="B19" s="17">
        <f t="shared" si="1"/>
        <v>44.7827578525284</v>
      </c>
      <c r="C19" s="12">
        <f t="shared" si="2"/>
        <v>0.9855190465582524</v>
      </c>
      <c r="D19" s="22">
        <f t="shared" si="3"/>
        <v>1.0936199599019716</v>
      </c>
      <c r="E19" s="1">
        <f t="shared" si="7"/>
        <v>-105.23948095344174</v>
      </c>
      <c r="F19" s="21"/>
      <c r="G19" s="21"/>
      <c r="H19" s="21"/>
      <c r="I19" s="21"/>
      <c r="J19" s="1">
        <f t="shared" si="4"/>
        <v>113.7888357843137</v>
      </c>
      <c r="K19" s="15">
        <f t="shared" si="8"/>
        <v>9.1462251694755</v>
      </c>
      <c r="L19" s="15">
        <f t="shared" si="9"/>
        <v>-6.251459000094535</v>
      </c>
      <c r="M19" s="5">
        <f t="shared" si="5"/>
        <v>45.7499231782265</v>
      </c>
      <c r="N19" s="1">
        <f t="shared" si="6"/>
        <v>2.2874961589113254</v>
      </c>
      <c r="O19" s="5">
        <f t="shared" si="10"/>
        <v>155.54973880597012</v>
      </c>
      <c r="R19" s="26"/>
      <c r="S19" s="26"/>
      <c r="T19" s="26"/>
    </row>
    <row r="20" spans="1:20" ht="12.75">
      <c r="A20" s="3">
        <f>B2</f>
        <v>3.4</v>
      </c>
      <c r="B20" s="17">
        <f t="shared" si="1"/>
        <v>44.09002916369835</v>
      </c>
      <c r="C20" s="56">
        <f t="shared" si="2"/>
        <v>0.40893000712397054</v>
      </c>
      <c r="D20" s="56">
        <f t="shared" si="3"/>
        <v>0.43552770551342235</v>
      </c>
      <c r="E20" s="3">
        <f t="shared" si="7"/>
        <v>-105.81606999287602</v>
      </c>
      <c r="F20" s="41"/>
      <c r="G20" s="41"/>
      <c r="H20" s="41"/>
      <c r="I20" s="41"/>
      <c r="J20" s="3">
        <f t="shared" si="4"/>
        <v>113.7888357843137</v>
      </c>
      <c r="K20" s="15">
        <f t="shared" si="8"/>
        <v>8.549354830871962</v>
      </c>
      <c r="L20" s="15">
        <f t="shared" si="9"/>
        <v>-6.929786902843119</v>
      </c>
      <c r="M20" s="38">
        <f t="shared" si="5"/>
        <v>45.077130190311415</v>
      </c>
      <c r="N20" s="3">
        <f t="shared" si="6"/>
        <v>2.2538565095155705</v>
      </c>
      <c r="O20" s="38">
        <f t="shared" si="10"/>
        <v>155.51609915657437</v>
      </c>
      <c r="Q20" s="5" t="s">
        <v>48</v>
      </c>
      <c r="S20" s="26"/>
      <c r="T20" s="26"/>
    </row>
    <row r="21" spans="1:20" ht="12.75">
      <c r="A21" s="1">
        <f>A20+$F$15</f>
        <v>3.4499999999999997</v>
      </c>
      <c r="B21" s="17">
        <f t="shared" si="1"/>
        <v>43.41766219405216</v>
      </c>
      <c r="C21" s="12">
        <f t="shared" si="2"/>
        <v>-0.14827237542779415</v>
      </c>
      <c r="D21" s="22">
        <f t="shared" si="3"/>
        <v>-0.20322091565044786</v>
      </c>
      <c r="E21" s="1">
        <f t="shared" si="7"/>
        <v>-106.37327237542779</v>
      </c>
      <c r="F21" s="21"/>
      <c r="G21" s="21"/>
      <c r="H21" s="21"/>
      <c r="I21" s="21"/>
      <c r="J21" s="1">
        <f t="shared" si="4"/>
        <v>113.7888357843137</v>
      </c>
      <c r="K21" s="3">
        <f t="shared" si="8"/>
        <v>7.972765791437681</v>
      </c>
      <c r="L21" s="3">
        <f t="shared" si="9"/>
        <v>-7.587879157231669</v>
      </c>
      <c r="M21" s="5">
        <f t="shared" si="5"/>
        <v>44.42383844842284</v>
      </c>
      <c r="N21" s="1">
        <f t="shared" si="6"/>
        <v>2.221191922421142</v>
      </c>
      <c r="O21" s="5">
        <f t="shared" si="10"/>
        <v>155.48343456947995</v>
      </c>
      <c r="Q21" s="5" t="s">
        <v>49</v>
      </c>
      <c r="S21" s="26"/>
      <c r="T21" s="26"/>
    </row>
    <row r="22" spans="1:20" ht="12.75">
      <c r="A22" s="1">
        <f aca="true" t="shared" si="11" ref="A22:A28">A21+$F$15</f>
        <v>3.4999999999999996</v>
      </c>
      <c r="B22" s="17">
        <f t="shared" si="1"/>
        <v>42.764772358943574</v>
      </c>
      <c r="C22" s="12">
        <f t="shared" si="2"/>
        <v>-0.6869308973589199</v>
      </c>
      <c r="D22" s="22">
        <f t="shared" si="3"/>
        <v>-0.8234662590036095</v>
      </c>
      <c r="E22" s="1">
        <f t="shared" si="7"/>
        <v>-106.91193089735891</v>
      </c>
      <c r="F22" s="21"/>
      <c r="G22" s="21"/>
      <c r="H22" s="21"/>
      <c r="I22" s="21"/>
      <c r="J22" s="1">
        <f t="shared" si="4"/>
        <v>113.7888357843137</v>
      </c>
      <c r="K22" s="15">
        <f t="shared" si="8"/>
        <v>7.415563408885916</v>
      </c>
      <c r="L22" s="15">
        <f t="shared" si="9"/>
        <v>-8.226627778395539</v>
      </c>
      <c r="M22" s="5">
        <f t="shared" si="5"/>
        <v>43.789212184873946</v>
      </c>
      <c r="N22" s="1">
        <f t="shared" si="6"/>
        <v>2.1894606092436972</v>
      </c>
      <c r="O22" s="5">
        <f t="shared" si="10"/>
        <v>155.4517032563025</v>
      </c>
      <c r="R22" s="29"/>
      <c r="S22" s="26"/>
      <c r="T22" s="26"/>
    </row>
    <row r="23" spans="1:20" ht="12.75">
      <c r="A23" s="1">
        <f t="shared" si="11"/>
        <v>3.5499999999999994</v>
      </c>
      <c r="B23" s="17">
        <f t="shared" si="1"/>
        <v>42.130525572657156</v>
      </c>
      <c r="C23" s="12">
        <f t="shared" si="2"/>
        <v>-1.2078402102757337</v>
      </c>
      <c r="D23" s="22">
        <f t="shared" si="3"/>
        <v>-1.42600070597571</v>
      </c>
      <c r="E23" s="1">
        <f t="shared" si="7"/>
        <v>-107.43284021027573</v>
      </c>
      <c r="F23" s="21"/>
      <c r="G23" s="21"/>
      <c r="H23" s="21"/>
      <c r="I23" s="21"/>
      <c r="J23" s="1">
        <f t="shared" si="4"/>
        <v>113.7888357843137</v>
      </c>
      <c r="K23" s="15">
        <f t="shared" si="8"/>
        <v>6.87690488695479</v>
      </c>
      <c r="L23" s="15">
        <f t="shared" si="9"/>
        <v>-8.8468731217487</v>
      </c>
      <c r="M23" s="5">
        <f t="shared" si="5"/>
        <v>43.17246271748136</v>
      </c>
      <c r="N23" s="1">
        <f t="shared" si="6"/>
        <v>2.158623135874068</v>
      </c>
      <c r="O23" s="5">
        <f t="shared" si="10"/>
        <v>155.42086578293288</v>
      </c>
      <c r="R23" s="29"/>
      <c r="S23" s="26"/>
      <c r="T23" s="26"/>
    </row>
    <row r="24" spans="1:20" ht="12.75">
      <c r="A24" s="1">
        <f t="shared" si="11"/>
        <v>3.599999999999999</v>
      </c>
      <c r="B24" s="17">
        <f t="shared" si="1"/>
        <v>41.514134696123826</v>
      </c>
      <c r="C24" s="12">
        <f t="shared" si="2"/>
        <v>-1.7117502099219166</v>
      </c>
      <c r="D24" s="22">
        <f t="shared" si="3"/>
        <v>-2.011572038682374</v>
      </c>
      <c r="E24" s="1">
        <f t="shared" si="7"/>
        <v>-107.93675020992191</v>
      </c>
      <c r="F24" s="21"/>
      <c r="G24" s="21"/>
      <c r="H24" s="21"/>
      <c r="I24" s="21"/>
      <c r="J24" s="1">
        <f t="shared" si="4"/>
        <v>113.7888357843137</v>
      </c>
      <c r="K24" s="15">
        <f t="shared" si="8"/>
        <v>6.355995574037976</v>
      </c>
      <c r="L24" s="15">
        <f t="shared" si="9"/>
        <v>-9.449407568720801</v>
      </c>
      <c r="M24" s="5">
        <f t="shared" si="5"/>
        <v>42.572845179738565</v>
      </c>
      <c r="N24" s="1">
        <f t="shared" si="6"/>
        <v>2.1286422589869285</v>
      </c>
      <c r="O24" s="5">
        <f t="shared" si="10"/>
        <v>155.39088490604573</v>
      </c>
      <c r="R24" s="29"/>
      <c r="S24" s="26"/>
      <c r="T24" s="26"/>
    </row>
    <row r="25" spans="1:20" ht="12.75">
      <c r="A25" s="1">
        <f t="shared" si="11"/>
        <v>3.649999999999999</v>
      </c>
      <c r="B25" s="17">
        <f t="shared" si="1"/>
        <v>40.91485628028656</v>
      </c>
      <c r="C25" s="12">
        <f t="shared" si="2"/>
        <v>-2.1993691427593376</v>
      </c>
      <c r="D25" s="22">
        <f t="shared" si="3"/>
        <v>-2.580886533727778</v>
      </c>
      <c r="E25" s="1">
        <f t="shared" si="7"/>
        <v>-108.42436914275933</v>
      </c>
      <c r="F25" s="21"/>
      <c r="G25" s="21"/>
      <c r="H25" s="21"/>
      <c r="I25" s="21"/>
      <c r="J25" s="1">
        <f t="shared" si="4"/>
        <v>113.7888357843137</v>
      </c>
      <c r="K25" s="15">
        <f t="shared" si="8"/>
        <v>5.852085574391793</v>
      </c>
      <c r="L25" s="15">
        <f t="shared" si="9"/>
        <v>-10.034978901427465</v>
      </c>
      <c r="M25" s="5">
        <f t="shared" si="5"/>
        <v>41.98965551974215</v>
      </c>
      <c r="N25" s="1">
        <f t="shared" si="6"/>
        <v>2.0994827759871075</v>
      </c>
      <c r="O25" s="5">
        <f t="shared" si="10"/>
        <v>155.3617254230459</v>
      </c>
      <c r="R25" s="29"/>
      <c r="S25" s="26"/>
      <c r="T25" s="26"/>
    </row>
    <row r="26" spans="1:20" ht="12.75">
      <c r="A26" s="1">
        <f t="shared" si="11"/>
        <v>3.699999999999999</v>
      </c>
      <c r="B26" s="17">
        <f t="shared" si="1"/>
        <v>40.331987576805744</v>
      </c>
      <c r="C26" s="12">
        <f t="shared" si="2"/>
        <v>-2.67136645737547</v>
      </c>
      <c r="D26" s="22">
        <f t="shared" si="3"/>
        <v>-3.1346118020345486</v>
      </c>
      <c r="E26" s="1">
        <f t="shared" si="7"/>
        <v>-108.89636645737546</v>
      </c>
      <c r="F26" s="21"/>
      <c r="G26" s="21"/>
      <c r="H26" s="21"/>
      <c r="I26" s="21"/>
      <c r="J26" s="1">
        <f t="shared" si="4"/>
        <v>113.7888357843137</v>
      </c>
      <c r="K26" s="15">
        <f t="shared" si="8"/>
        <v>5.3644666415543725</v>
      </c>
      <c r="L26" s="15">
        <f t="shared" si="9"/>
        <v>-10.604293396472869</v>
      </c>
      <c r="M26" s="5">
        <f t="shared" si="5"/>
        <v>41.422227742448335</v>
      </c>
      <c r="N26" s="1">
        <f t="shared" si="6"/>
        <v>2.071111387122417</v>
      </c>
      <c r="O26" s="5">
        <f t="shared" si="10"/>
        <v>155.3333540341812</v>
      </c>
      <c r="R26" s="29"/>
      <c r="S26" s="26"/>
      <c r="T26" s="26"/>
    </row>
    <row r="27" spans="1:20" ht="12.75">
      <c r="A27" s="1">
        <f t="shared" si="11"/>
        <v>3.7499999999999987</v>
      </c>
      <c r="B27" s="17">
        <f t="shared" si="1"/>
        <v>39.76486379084969</v>
      </c>
      <c r="C27" s="12">
        <f t="shared" si="2"/>
        <v>-3.128375424836591</v>
      </c>
      <c r="D27" s="22">
        <f t="shared" si="3"/>
        <v>-3.6733793986928003</v>
      </c>
      <c r="E27" s="1">
        <f t="shared" si="7"/>
        <v>-109.35337542483659</v>
      </c>
      <c r="F27" s="21"/>
      <c r="G27" s="21"/>
      <c r="H27" s="21"/>
      <c r="I27" s="21"/>
      <c r="J27" s="1">
        <f t="shared" si="4"/>
        <v>113.7888357843137</v>
      </c>
      <c r="K27" s="15">
        <f t="shared" si="8"/>
        <v>4.89246932693824</v>
      </c>
      <c r="L27" s="15">
        <f t="shared" si="9"/>
        <v>-11.15801866477964</v>
      </c>
      <c r="M27" s="5">
        <f t="shared" si="5"/>
        <v>40.869931372549026</v>
      </c>
      <c r="N27" s="1">
        <f t="shared" si="6"/>
        <v>2.043496568627451</v>
      </c>
      <c r="O27" s="5">
        <f t="shared" si="10"/>
        <v>155.30573921568626</v>
      </c>
      <c r="R27" s="29"/>
      <c r="S27" s="26"/>
      <c r="T27" s="26"/>
    </row>
    <row r="28" spans="1:20" ht="12.75">
      <c r="A28" s="1">
        <f t="shared" si="11"/>
        <v>3.7999999999999985</v>
      </c>
      <c r="B28" s="17">
        <f t="shared" si="1"/>
        <v>39.21285555340559</v>
      </c>
      <c r="C28" s="12">
        <f t="shared" si="2"/>
        <v>-3.5709955495355956</v>
      </c>
      <c r="D28" s="22">
        <f t="shared" si="3"/>
        <v>-4.197787224264692</v>
      </c>
      <c r="E28" s="1">
        <f t="shared" si="7"/>
        <v>-109.79599554953559</v>
      </c>
      <c r="F28" s="21"/>
      <c r="G28" s="21"/>
      <c r="H28" s="21"/>
      <c r="I28" s="21"/>
      <c r="J28" s="1">
        <f t="shared" si="4"/>
        <v>113.7888357843137</v>
      </c>
      <c r="K28" s="15">
        <f t="shared" si="8"/>
        <v>4.435460359477119</v>
      </c>
      <c r="L28" s="15">
        <f t="shared" si="9"/>
        <v>-11.696786261437893</v>
      </c>
      <c r="M28" s="5">
        <f t="shared" si="5"/>
        <v>40.33216911764707</v>
      </c>
      <c r="N28" s="1">
        <f t="shared" si="6"/>
        <v>2.016608455882354</v>
      </c>
      <c r="O28" s="5">
        <f t="shared" si="10"/>
        <v>155.27885110294116</v>
      </c>
      <c r="R28" s="29"/>
      <c r="S28" s="26"/>
      <c r="T28" s="26"/>
    </row>
    <row r="29" spans="2:20" ht="12.75">
      <c r="B29" s="22"/>
      <c r="F29" s="21"/>
      <c r="G29" s="21"/>
      <c r="H29" s="21"/>
      <c r="I29" s="21"/>
      <c r="J29" s="21"/>
      <c r="K29" s="15">
        <f t="shared" si="8"/>
        <v>3.9928402347781144</v>
      </c>
      <c r="L29" s="15">
        <f t="shared" si="9"/>
        <v>-12.221194087009785</v>
      </c>
      <c r="M29" s="5"/>
      <c r="R29" s="26"/>
      <c r="S29" s="26"/>
      <c r="T29" s="26"/>
    </row>
    <row r="30" spans="1:13" ht="12.75">
      <c r="A30" s="23" t="s">
        <v>12</v>
      </c>
      <c r="B30" s="24">
        <v>1.65</v>
      </c>
      <c r="C30" s="15"/>
      <c r="D30" s="15"/>
      <c r="F30" s="21"/>
      <c r="G30" s="21"/>
      <c r="H30" s="21"/>
      <c r="I30" s="21"/>
      <c r="J30" s="21"/>
      <c r="L30" s="5"/>
      <c r="M30" s="5"/>
    </row>
    <row r="31" spans="1:13" ht="12.75">
      <c r="A31" s="16"/>
      <c r="B31" s="16"/>
      <c r="C31" s="49"/>
      <c r="D31" s="50"/>
      <c r="E31" s="25"/>
      <c r="F31" s="25"/>
      <c r="G31" s="25"/>
      <c r="H31" s="25"/>
      <c r="I31" s="25"/>
      <c r="J31" s="25"/>
      <c r="L31" s="5"/>
      <c r="M31" s="5"/>
    </row>
    <row r="32" spans="1:13" ht="12.75">
      <c r="A32" s="10" t="s">
        <v>58</v>
      </c>
      <c r="B32" s="22"/>
      <c r="C32" s="12"/>
      <c r="D32" s="12"/>
      <c r="E32" s="26"/>
      <c r="F32" s="26"/>
      <c r="G32" s="25"/>
      <c r="H32" s="25"/>
      <c r="I32" s="25"/>
      <c r="J32" s="25"/>
      <c r="L32" s="5"/>
      <c r="M32" s="5"/>
    </row>
    <row r="33" spans="1:13" ht="12.75">
      <c r="A33" s="10" t="s">
        <v>13</v>
      </c>
      <c r="B33" s="14"/>
      <c r="C33" s="12"/>
      <c r="D33" s="12"/>
      <c r="E33" s="26"/>
      <c r="F33" s="26"/>
      <c r="G33" s="25"/>
      <c r="H33" s="25"/>
      <c r="I33" s="25"/>
      <c r="J33" s="25"/>
      <c r="L33" s="5"/>
      <c r="M33" s="5"/>
    </row>
    <row r="34" spans="1:10" ht="12.75">
      <c r="A34" s="32" t="s">
        <v>17</v>
      </c>
      <c r="B34" s="22"/>
      <c r="C34" s="12"/>
      <c r="D34" s="27"/>
      <c r="E34" s="26"/>
      <c r="F34" s="26"/>
      <c r="G34" s="25"/>
      <c r="H34" s="25"/>
      <c r="I34" s="25"/>
      <c r="J34" s="25"/>
    </row>
    <row r="35" spans="1:10" ht="12.75">
      <c r="A35" s="5"/>
      <c r="B35" s="22"/>
      <c r="C35" s="12"/>
      <c r="D35" s="22"/>
      <c r="E35" s="28"/>
      <c r="F35" s="26"/>
      <c r="G35" s="25"/>
      <c r="H35" s="25"/>
      <c r="I35" s="25"/>
      <c r="J35" s="25"/>
    </row>
    <row r="36" spans="1:10" ht="12.75">
      <c r="A36" s="10" t="s">
        <v>52</v>
      </c>
      <c r="B36" s="22"/>
      <c r="C36" s="12"/>
      <c r="D36" s="27"/>
      <c r="E36" s="26"/>
      <c r="F36" s="26"/>
      <c r="G36" s="25"/>
      <c r="H36" s="25"/>
      <c r="I36" s="25"/>
      <c r="J36" s="25"/>
    </row>
    <row r="37" spans="1:13" s="29" customFormat="1" ht="12.75">
      <c r="A37" s="10" t="s">
        <v>60</v>
      </c>
      <c r="B37" s="12"/>
      <c r="C37" s="12"/>
      <c r="D37" s="14"/>
      <c r="G37" s="30"/>
      <c r="H37" s="30"/>
      <c r="I37" s="30"/>
      <c r="J37" s="30"/>
      <c r="K37" s="12"/>
      <c r="L37" s="12"/>
      <c r="M37" s="12"/>
    </row>
    <row r="38" spans="1:13" s="29" customFormat="1" ht="12.75">
      <c r="A38" s="10" t="s">
        <v>61</v>
      </c>
      <c r="B38" s="12"/>
      <c r="C38" s="12"/>
      <c r="D38" s="14"/>
      <c r="G38" s="30"/>
      <c r="H38" s="30"/>
      <c r="I38" s="30"/>
      <c r="J38" s="30"/>
      <c r="K38" s="12"/>
      <c r="L38" s="12"/>
      <c r="M38" s="12"/>
    </row>
    <row r="39" spans="1:13" s="29" customFormat="1" ht="12.75">
      <c r="A39" s="10"/>
      <c r="B39" s="12"/>
      <c r="C39" s="12"/>
      <c r="D39" s="14"/>
      <c r="G39" s="30"/>
      <c r="H39" s="30"/>
      <c r="I39" s="30"/>
      <c r="J39" s="30"/>
      <c r="K39" s="12"/>
      <c r="L39" s="12"/>
      <c r="M39" s="12"/>
    </row>
    <row r="40" spans="1:13" s="29" customFormat="1" ht="12.75">
      <c r="A40" s="10" t="s">
        <v>62</v>
      </c>
      <c r="B40" s="12"/>
      <c r="C40" s="12"/>
      <c r="D40" s="14"/>
      <c r="G40" s="30"/>
      <c r="H40" s="30"/>
      <c r="I40" s="30"/>
      <c r="J40" s="30"/>
      <c r="K40" s="12"/>
      <c r="L40" s="12"/>
      <c r="M40" s="12"/>
    </row>
    <row r="41" spans="1:10" ht="12.75">
      <c r="A41" s="31" t="s">
        <v>16</v>
      </c>
      <c r="B41" s="16"/>
      <c r="C41" s="12"/>
      <c r="D41" s="22"/>
      <c r="E41" s="26"/>
      <c r="F41" s="26"/>
      <c r="G41" s="33"/>
      <c r="H41" s="16"/>
      <c r="I41" s="16"/>
      <c r="J41" s="16"/>
    </row>
    <row r="42" ht="12.75">
      <c r="A42" s="29"/>
    </row>
    <row r="43" ht="12.75">
      <c r="A43" s="34" t="s">
        <v>56</v>
      </c>
    </row>
    <row r="44" ht="12.75">
      <c r="A44" s="10" t="s">
        <v>57</v>
      </c>
    </row>
    <row r="45" ht="12.75">
      <c r="A45" s="14"/>
    </row>
    <row r="46" ht="12.75">
      <c r="A46" s="10" t="s">
        <v>20</v>
      </c>
    </row>
    <row r="47" ht="12.75">
      <c r="A47" s="10" t="s">
        <v>21</v>
      </c>
    </row>
    <row r="48" ht="12.75">
      <c r="A48" s="10" t="s">
        <v>22</v>
      </c>
    </row>
    <row r="49" ht="12.75">
      <c r="A49" s="10" t="s">
        <v>23</v>
      </c>
    </row>
    <row r="51" ht="12.75">
      <c r="A51" s="35" t="s">
        <v>29</v>
      </c>
    </row>
    <row r="52" ht="12.75">
      <c r="A52" s="69"/>
    </row>
  </sheetData>
  <sheetProtection password="D95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</dc:creator>
  <cp:keywords/>
  <dc:description/>
  <cp:lastModifiedBy>Howard</cp:lastModifiedBy>
  <dcterms:created xsi:type="dcterms:W3CDTF">2010-01-09T13:32:28Z</dcterms:created>
  <dcterms:modified xsi:type="dcterms:W3CDTF">2010-02-07T09:48:00Z</dcterms:modified>
  <cp:category/>
  <cp:version/>
  <cp:contentType/>
  <cp:contentStatus/>
</cp:coreProperties>
</file>